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95" yWindow="135" windowWidth="17055" windowHeight="11445" tabRatio="966" firstSheet="2" activeTab="7"/>
  </bookViews>
  <sheets>
    <sheet name="صفحه اصلی" sheetId="12" r:id="rId1"/>
    <sheet name="رو کش تراز " sheetId="29" r:id="rId2"/>
    <sheet name="1" sheetId="7" r:id="rId3"/>
    <sheet name="2" sheetId="9" r:id="rId4"/>
    <sheet name=" 3" sheetId="10" r:id="rId5"/>
    <sheet name="4استانی " sheetId="8" r:id="rId6"/>
    <sheet name="  5 استانی" sheetId="6" r:id="rId7"/>
    <sheet name="2ابلاغی" sheetId="31" r:id="rId8"/>
    <sheet name="3 ابلاغی" sheetId="32" r:id="rId9"/>
    <sheet name="4ابلاغی" sheetId="27" r:id="rId10"/>
    <sheet name="5 ابلاغی" sheetId="28" r:id="rId11"/>
    <sheet name="6" sheetId="13" r:id="rId12"/>
    <sheet name="7" sheetId="14" r:id="rId13"/>
    <sheet name=" 8" sheetId="16" r:id="rId14"/>
    <sheet name="9" sheetId="15" r:id="rId15"/>
    <sheet name="10" sheetId="18" r:id="rId16"/>
    <sheet name="11" sheetId="19" r:id="rId17"/>
    <sheet name="12" sheetId="20" r:id="rId18"/>
    <sheet name="13 استانی" sheetId="33" r:id="rId19"/>
    <sheet name="14استانی" sheetId="34" r:id="rId20"/>
    <sheet name="13 ابلاغی" sheetId="21" r:id="rId21"/>
    <sheet name="14ابلاغی" sheetId="22" r:id="rId22"/>
    <sheet name="15استانی" sheetId="35" r:id="rId23"/>
    <sheet name="15ابلاغی" sheetId="23" r:id="rId24"/>
    <sheet name="راهنما" sheetId="36" r:id="rId25"/>
  </sheets>
  <definedNames>
    <definedName name="_xlnm.Print_Area" localSheetId="6">'  5 استانی'!$A$1:$L$17</definedName>
    <definedName name="_xlnm.Print_Area" localSheetId="4">' 3'!$A$1:$L$17</definedName>
    <definedName name="_xlnm.Print_Area" localSheetId="13">' 8'!$A$1:$J$83</definedName>
    <definedName name="_xlnm.Print_Area" localSheetId="2">'1'!$A$1:$M$23</definedName>
    <definedName name="_xlnm.Print_Area" localSheetId="15">'10'!$A$1:$I$10</definedName>
    <definedName name="_xlnm.Print_Area" localSheetId="16">'11'!$A$1:$I$14</definedName>
    <definedName name="_xlnm.Print_Area" localSheetId="17">'12'!$A$1:$H$13</definedName>
    <definedName name="_xlnm.Print_Area" localSheetId="20">'13 ابلاغی'!$A$1:$I$23</definedName>
    <definedName name="_xlnm.Print_Area" localSheetId="18">'13 استانی'!$A$1:$I$25</definedName>
    <definedName name="_xlnm.Print_Area" localSheetId="21">'14ابلاغی'!$A$1:$I$18</definedName>
    <definedName name="_xlnm.Print_Area" localSheetId="19">'14استانی'!$A$1:$I$18</definedName>
    <definedName name="_xlnm.Print_Area" localSheetId="23">'15ابلاغی'!$A$1:$H$10</definedName>
    <definedName name="_xlnm.Print_Area" localSheetId="22">'15استانی'!$A$1:$H$10</definedName>
    <definedName name="_xlnm.Print_Area" localSheetId="3">'2'!$A$1:$L$24</definedName>
    <definedName name="_xlnm.Print_Area" localSheetId="7">'2ابلاغی'!$A$1:$L$22</definedName>
    <definedName name="_xlnm.Print_Area" localSheetId="8">'3 ابلاغی'!$A$1:$L$17</definedName>
    <definedName name="_xlnm.Print_Area" localSheetId="9">'4ابلاغی'!$A$1:$L$188</definedName>
    <definedName name="_xlnm.Print_Area" localSheetId="5">'4استانی '!$A$1:$L$24</definedName>
    <definedName name="_xlnm.Print_Area" localSheetId="10">'5 ابلاغی'!$A$1:$L$170</definedName>
    <definedName name="_xlnm.Print_Area" localSheetId="11">'6'!$A$1:$L$35</definedName>
    <definedName name="_xlnm.Print_Area" localSheetId="12">'7'!$A$1:$I$17</definedName>
    <definedName name="_xlnm.Print_Area" localSheetId="14">'9'!$A$1:$I$18</definedName>
    <definedName name="_xlnm.Print_Area" localSheetId="1">'رو کش تراز '!$A$1:$R$428</definedName>
  </definedNames>
  <calcPr calcId="144525"/>
</workbook>
</file>

<file path=xl/calcChain.xml><?xml version="1.0" encoding="utf-8"?>
<calcChain xmlns="http://schemas.openxmlformats.org/spreadsheetml/2006/main">
  <c r="C5" i="23" l="1"/>
  <c r="C5" i="35"/>
  <c r="C20" i="9"/>
  <c r="A19" i="33"/>
  <c r="C19" i="33"/>
  <c r="H19" i="33"/>
  <c r="A8" i="33"/>
  <c r="H8" i="33"/>
  <c r="A9" i="33"/>
  <c r="H9" i="33"/>
  <c r="A10" i="33"/>
  <c r="H10" i="33"/>
  <c r="A11" i="33"/>
  <c r="H11" i="33"/>
  <c r="A12" i="33"/>
  <c r="H12" i="33"/>
  <c r="A13" i="33"/>
  <c r="H13" i="33"/>
  <c r="A14" i="33"/>
  <c r="C14" i="33"/>
  <c r="H14" i="33"/>
  <c r="A15" i="33"/>
  <c r="H15" i="33"/>
  <c r="A16" i="33"/>
  <c r="H16" i="33"/>
  <c r="A17" i="33"/>
  <c r="H17" i="33"/>
  <c r="A18" i="33"/>
  <c r="C18" i="33"/>
  <c r="H18" i="33"/>
  <c r="A7" i="33"/>
  <c r="H7" i="33"/>
  <c r="A11" i="8"/>
  <c r="D11" i="8"/>
  <c r="A12" i="8"/>
  <c r="D12" i="8"/>
  <c r="A13" i="8"/>
  <c r="B13" i="8"/>
  <c r="D13" i="8"/>
  <c r="A14" i="8"/>
  <c r="D14" i="8"/>
  <c r="A15" i="8"/>
  <c r="D15" i="8"/>
  <c r="A16" i="8"/>
  <c r="D16" i="8"/>
  <c r="A17" i="8"/>
  <c r="B17" i="8"/>
  <c r="D17" i="8"/>
  <c r="A18" i="8"/>
  <c r="D18" i="8"/>
  <c r="A19" i="8"/>
  <c r="D19" i="8"/>
  <c r="L12" i="9"/>
  <c r="C12" i="33" s="1"/>
  <c r="L13" i="9"/>
  <c r="C13" i="33" s="1"/>
  <c r="L14" i="9"/>
  <c r="B14" i="8" s="1"/>
  <c r="L15" i="9"/>
  <c r="B15" i="8" s="1"/>
  <c r="L16" i="9"/>
  <c r="C16" i="33" s="1"/>
  <c r="L17" i="9"/>
  <c r="C17" i="33" s="1"/>
  <c r="L18" i="9"/>
  <c r="B18" i="8" s="1"/>
  <c r="L19" i="9"/>
  <c r="B19" i="8" s="1"/>
  <c r="B16" i="8" l="1"/>
  <c r="B12" i="8"/>
  <c r="C15" i="33"/>
  <c r="A7" i="27"/>
  <c r="A8" i="27"/>
  <c r="A9" i="27"/>
  <c r="A10" i="27"/>
  <c r="A11" i="27"/>
  <c r="A12" i="27"/>
  <c r="A13" i="27"/>
  <c r="A14" i="27"/>
  <c r="A15" i="27"/>
  <c r="A16" i="27"/>
  <c r="A17" i="27"/>
  <c r="H7" i="35"/>
  <c r="F7" i="35"/>
  <c r="D7" i="35"/>
  <c r="B7" i="35"/>
  <c r="G3" i="35"/>
  <c r="B3" i="35"/>
  <c r="B2" i="35"/>
  <c r="I15" i="34"/>
  <c r="F15" i="34"/>
  <c r="D15" i="34"/>
  <c r="B15" i="34"/>
  <c r="G13" i="34"/>
  <c r="F13" i="34"/>
  <c r="E13" i="34"/>
  <c r="D13" i="34"/>
  <c r="H12" i="34"/>
  <c r="H11" i="34"/>
  <c r="H10" i="34"/>
  <c r="H9" i="34"/>
  <c r="H8" i="34"/>
  <c r="H7" i="34"/>
  <c r="H6" i="34"/>
  <c r="F3" i="34"/>
  <c r="B3" i="34"/>
  <c r="B2" i="34"/>
  <c r="A6" i="33"/>
  <c r="I22" i="33"/>
  <c r="F22" i="33"/>
  <c r="D22" i="33"/>
  <c r="B22" i="33"/>
  <c r="G20" i="33"/>
  <c r="F20" i="33"/>
  <c r="K9" i="34" s="1"/>
  <c r="E20" i="33"/>
  <c r="K8" i="34" s="1"/>
  <c r="D20" i="33"/>
  <c r="K7" i="34" s="1"/>
  <c r="H6" i="33"/>
  <c r="G3" i="33"/>
  <c r="B3" i="33"/>
  <c r="B2" i="33"/>
  <c r="T237" i="29"/>
  <c r="E12" i="16"/>
  <c r="F12" i="16"/>
  <c r="I12" i="16"/>
  <c r="J12" i="16"/>
  <c r="D12" i="16"/>
  <c r="L6" i="16" s="1"/>
  <c r="C13" i="32"/>
  <c r="D13" i="32"/>
  <c r="E13" i="32"/>
  <c r="F13" i="32"/>
  <c r="G13" i="32"/>
  <c r="H13" i="32"/>
  <c r="I13" i="32"/>
  <c r="J13" i="32"/>
  <c r="K13" i="32"/>
  <c r="B13" i="32"/>
  <c r="E18" i="27"/>
  <c r="F18" i="27"/>
  <c r="G18" i="27"/>
  <c r="H18" i="27"/>
  <c r="I18" i="27"/>
  <c r="J18" i="27"/>
  <c r="K18" i="27"/>
  <c r="L18" i="27"/>
  <c r="T250" i="29"/>
  <c r="T219" i="29"/>
  <c r="T211" i="29"/>
  <c r="T117" i="29"/>
  <c r="T189" i="29"/>
  <c r="T18" i="29"/>
  <c r="L32" i="13"/>
  <c r="I32" i="13"/>
  <c r="F32" i="13"/>
  <c r="C32" i="13"/>
  <c r="H21" i="13"/>
  <c r="C21" i="13"/>
  <c r="C20" i="13"/>
  <c r="L31" i="13"/>
  <c r="K31" i="13"/>
  <c r="J31" i="13"/>
  <c r="I31" i="13"/>
  <c r="H31" i="13"/>
  <c r="G31" i="13"/>
  <c r="F31" i="13"/>
  <c r="E31" i="13"/>
  <c r="C31" i="13"/>
  <c r="B31" i="13"/>
  <c r="D30" i="13"/>
  <c r="D29" i="13"/>
  <c r="D28" i="13"/>
  <c r="D27" i="13"/>
  <c r="D26" i="13"/>
  <c r="D25" i="13"/>
  <c r="D24" i="13"/>
  <c r="H13" i="34" l="1"/>
  <c r="H20" i="33"/>
  <c r="D31" i="13"/>
  <c r="G3" i="29"/>
  <c r="O4" i="29"/>
  <c r="B4" i="29"/>
  <c r="A7" i="21"/>
  <c r="A8" i="21"/>
  <c r="A9" i="21"/>
  <c r="A10" i="21"/>
  <c r="A11" i="21"/>
  <c r="A12" i="21"/>
  <c r="A13" i="21"/>
  <c r="A14" i="21"/>
  <c r="A15" i="21"/>
  <c r="A16" i="21"/>
  <c r="A17" i="21"/>
  <c r="A6" i="21"/>
  <c r="K11" i="34" l="1"/>
  <c r="A6" i="27"/>
  <c r="D15" i="27"/>
  <c r="D16" i="27"/>
  <c r="D17" i="27"/>
  <c r="H3" i="32"/>
  <c r="C3" i="32"/>
  <c r="H3" i="31"/>
  <c r="C3" i="31"/>
  <c r="L19" i="31"/>
  <c r="I19" i="31"/>
  <c r="F19" i="31"/>
  <c r="C19" i="31"/>
  <c r="K18" i="31"/>
  <c r="J18" i="31"/>
  <c r="I18" i="31"/>
  <c r="H18" i="31"/>
  <c r="G18" i="31"/>
  <c r="F18" i="31"/>
  <c r="E18" i="31"/>
  <c r="D18" i="31"/>
  <c r="C18" i="31"/>
  <c r="A5" i="23" s="1"/>
  <c r="B18" i="31"/>
  <c r="L17" i="31"/>
  <c r="B17" i="27" s="1"/>
  <c r="L16" i="31"/>
  <c r="B16" i="27" s="1"/>
  <c r="L15" i="31"/>
  <c r="B15" i="27" s="1"/>
  <c r="L14" i="31"/>
  <c r="B14" i="27" s="1"/>
  <c r="L13" i="31"/>
  <c r="B13" i="27" s="1"/>
  <c r="L12" i="31"/>
  <c r="B12" i="27" s="1"/>
  <c r="L11" i="31"/>
  <c r="B11" i="27" s="1"/>
  <c r="L10" i="31"/>
  <c r="B10" i="27" s="1"/>
  <c r="L9" i="31"/>
  <c r="B9" i="27" s="1"/>
  <c r="L8" i="31"/>
  <c r="B8" i="27" s="1"/>
  <c r="L7" i="31"/>
  <c r="B7" i="27" s="1"/>
  <c r="L6" i="31"/>
  <c r="C6" i="21" s="1"/>
  <c r="C2" i="31"/>
  <c r="L14" i="32"/>
  <c r="I14" i="32"/>
  <c r="F14" i="32"/>
  <c r="C14" i="32"/>
  <c r="L12" i="32"/>
  <c r="B12" i="28" s="1"/>
  <c r="L11" i="32"/>
  <c r="B11" i="28" s="1"/>
  <c r="L10" i="32"/>
  <c r="B10" i="28" s="1"/>
  <c r="L9" i="32"/>
  <c r="B9" i="28" s="1"/>
  <c r="L8" i="32"/>
  <c r="B8" i="28" s="1"/>
  <c r="L7" i="32"/>
  <c r="B7" i="28" s="1"/>
  <c r="L6" i="32"/>
  <c r="B6" i="28" s="1"/>
  <c r="C2" i="32"/>
  <c r="B12" i="15"/>
  <c r="J80" i="16"/>
  <c r="H80" i="16"/>
  <c r="F80" i="16"/>
  <c r="C80" i="16"/>
  <c r="H71" i="16"/>
  <c r="B71" i="16"/>
  <c r="B70" i="16"/>
  <c r="J79" i="16"/>
  <c r="I79" i="16"/>
  <c r="F79" i="16"/>
  <c r="E79" i="16"/>
  <c r="D79" i="16"/>
  <c r="H78" i="16"/>
  <c r="G78" i="16"/>
  <c r="H77" i="16"/>
  <c r="G77" i="16"/>
  <c r="H76" i="16"/>
  <c r="G76" i="16"/>
  <c r="H75" i="16"/>
  <c r="G75" i="16"/>
  <c r="G79" i="16" s="1"/>
  <c r="H74" i="16"/>
  <c r="H73" i="16"/>
  <c r="L167" i="28"/>
  <c r="I167" i="28"/>
  <c r="F167" i="28"/>
  <c r="C167" i="28"/>
  <c r="H156" i="28"/>
  <c r="C156" i="28"/>
  <c r="C155" i="28"/>
  <c r="L150" i="28"/>
  <c r="I150" i="28"/>
  <c r="F150" i="28"/>
  <c r="C150" i="28"/>
  <c r="H139" i="28"/>
  <c r="C139" i="28"/>
  <c r="C138" i="28"/>
  <c r="L133" i="28"/>
  <c r="I133" i="28"/>
  <c r="F133" i="28"/>
  <c r="C133" i="28"/>
  <c r="H122" i="28"/>
  <c r="C122" i="28"/>
  <c r="C121" i="28"/>
  <c r="L116" i="28"/>
  <c r="I116" i="28"/>
  <c r="F116" i="28"/>
  <c r="C116" i="28"/>
  <c r="H105" i="28"/>
  <c r="C105" i="28"/>
  <c r="C104" i="28"/>
  <c r="L99" i="28"/>
  <c r="I99" i="28"/>
  <c r="F99" i="28"/>
  <c r="C99" i="28"/>
  <c r="H88" i="28"/>
  <c r="C88" i="28"/>
  <c r="C87" i="28"/>
  <c r="E156" i="28"/>
  <c r="E139" i="28"/>
  <c r="E122" i="28"/>
  <c r="E105" i="28"/>
  <c r="E88" i="28"/>
  <c r="C56" i="27"/>
  <c r="D56" i="27"/>
  <c r="C57" i="27"/>
  <c r="D57" i="27"/>
  <c r="C33" i="27"/>
  <c r="D33" i="27"/>
  <c r="C34" i="27"/>
  <c r="D34" i="27"/>
  <c r="C35" i="27"/>
  <c r="D35" i="27"/>
  <c r="C36" i="27"/>
  <c r="D36" i="27"/>
  <c r="C37" i="27"/>
  <c r="D37" i="27"/>
  <c r="C38" i="27"/>
  <c r="D38" i="27"/>
  <c r="C39" i="27"/>
  <c r="D39" i="27"/>
  <c r="L185" i="27"/>
  <c r="I185" i="27"/>
  <c r="F185" i="27"/>
  <c r="C185" i="27"/>
  <c r="H173" i="27"/>
  <c r="C173" i="27"/>
  <c r="C172" i="27"/>
  <c r="L167" i="27"/>
  <c r="I167" i="27"/>
  <c r="F167" i="27"/>
  <c r="C167" i="27"/>
  <c r="H155" i="27"/>
  <c r="C155" i="27"/>
  <c r="C154" i="27"/>
  <c r="L149" i="27"/>
  <c r="I149" i="27"/>
  <c r="F149" i="27"/>
  <c r="H137" i="27"/>
  <c r="C137" i="27"/>
  <c r="C136" i="27"/>
  <c r="L131" i="27"/>
  <c r="I131" i="27"/>
  <c r="F131" i="27"/>
  <c r="H119" i="27"/>
  <c r="C119" i="27"/>
  <c r="C118" i="27"/>
  <c r="H6" i="22"/>
  <c r="H7" i="22"/>
  <c r="H11" i="21"/>
  <c r="H12" i="21"/>
  <c r="H13" i="21"/>
  <c r="H14" i="21"/>
  <c r="H15" i="21"/>
  <c r="H16" i="21"/>
  <c r="H17" i="21"/>
  <c r="H101" i="27"/>
  <c r="C101" i="27"/>
  <c r="C100" i="27"/>
  <c r="C149" i="27"/>
  <c r="C131" i="27"/>
  <c r="L113" i="27"/>
  <c r="I113" i="27"/>
  <c r="F113" i="27"/>
  <c r="C113" i="27"/>
  <c r="L166" i="28"/>
  <c r="K166" i="28"/>
  <c r="J166" i="28"/>
  <c r="I166" i="28"/>
  <c r="H166" i="28"/>
  <c r="G166" i="28"/>
  <c r="F166" i="28"/>
  <c r="E166" i="28"/>
  <c r="B166" i="28"/>
  <c r="D165" i="28"/>
  <c r="C165" i="28"/>
  <c r="D164" i="28"/>
  <c r="C164" i="28"/>
  <c r="D163" i="28"/>
  <c r="C163" i="28"/>
  <c r="D162" i="28"/>
  <c r="C162" i="28"/>
  <c r="D161" i="28"/>
  <c r="C161" i="28"/>
  <c r="D160" i="28"/>
  <c r="C160" i="28"/>
  <c r="D159" i="28"/>
  <c r="D166" i="28" s="1"/>
  <c r="C159" i="28"/>
  <c r="C166" i="28" s="1"/>
  <c r="L149" i="28"/>
  <c r="K149" i="28"/>
  <c r="J149" i="28"/>
  <c r="I149" i="28"/>
  <c r="H149" i="28"/>
  <c r="G149" i="28"/>
  <c r="F149" i="28"/>
  <c r="E149" i="28"/>
  <c r="B149" i="28"/>
  <c r="D148" i="28"/>
  <c r="C148" i="28"/>
  <c r="D147" i="28"/>
  <c r="C147" i="28"/>
  <c r="D146" i="28"/>
  <c r="C146" i="28"/>
  <c r="D145" i="28"/>
  <c r="C145" i="28"/>
  <c r="D144" i="28"/>
  <c r="C144" i="28"/>
  <c r="D143" i="28"/>
  <c r="C143" i="28"/>
  <c r="D142" i="28"/>
  <c r="C142" i="28"/>
  <c r="L132" i="28"/>
  <c r="K132" i="28"/>
  <c r="J132" i="28"/>
  <c r="I132" i="28"/>
  <c r="H132" i="28"/>
  <c r="G132" i="28"/>
  <c r="F132" i="28"/>
  <c r="E132" i="28"/>
  <c r="B132" i="28"/>
  <c r="D131" i="28"/>
  <c r="C131" i="28"/>
  <c r="D130" i="28"/>
  <c r="C130" i="28"/>
  <c r="D129" i="28"/>
  <c r="C129" i="28"/>
  <c r="D128" i="28"/>
  <c r="C128" i="28"/>
  <c r="D127" i="28"/>
  <c r="C127" i="28"/>
  <c r="D126" i="28"/>
  <c r="C126" i="28"/>
  <c r="D125" i="28"/>
  <c r="C125" i="28"/>
  <c r="L115" i="28"/>
  <c r="K115" i="28"/>
  <c r="J115" i="28"/>
  <c r="I115" i="28"/>
  <c r="H115" i="28"/>
  <c r="G115" i="28"/>
  <c r="F115" i="28"/>
  <c r="E115" i="28"/>
  <c r="B115" i="28"/>
  <c r="D114" i="28"/>
  <c r="C114" i="28"/>
  <c r="D113" i="28"/>
  <c r="C113" i="28"/>
  <c r="D112" i="28"/>
  <c r="C112" i="28"/>
  <c r="D111" i="28"/>
  <c r="C111" i="28"/>
  <c r="D110" i="28"/>
  <c r="C110" i="28"/>
  <c r="D109" i="28"/>
  <c r="C109" i="28"/>
  <c r="D108" i="28"/>
  <c r="D115" i="28" s="1"/>
  <c r="C108" i="28"/>
  <c r="L98" i="28"/>
  <c r="K98" i="28"/>
  <c r="J98" i="28"/>
  <c r="I98" i="28"/>
  <c r="H98" i="28"/>
  <c r="G98" i="28"/>
  <c r="F98" i="28"/>
  <c r="E98" i="28"/>
  <c r="B98" i="28"/>
  <c r="D97" i="28"/>
  <c r="C97" i="28"/>
  <c r="D96" i="28"/>
  <c r="C96" i="28"/>
  <c r="D95" i="28"/>
  <c r="C95" i="28"/>
  <c r="D94" i="28"/>
  <c r="C94" i="28"/>
  <c r="D93" i="28"/>
  <c r="C93" i="28"/>
  <c r="D92" i="28"/>
  <c r="C92" i="28"/>
  <c r="D91" i="28"/>
  <c r="C91" i="28"/>
  <c r="C98" i="28" s="1"/>
  <c r="B16" i="7"/>
  <c r="B15" i="7"/>
  <c r="B14" i="7"/>
  <c r="B13" i="7"/>
  <c r="B12" i="7"/>
  <c r="B11" i="7"/>
  <c r="B10" i="7"/>
  <c r="L184" i="27"/>
  <c r="M16" i="7" s="1"/>
  <c r="K184" i="27"/>
  <c r="L16" i="7" s="1"/>
  <c r="J184" i="27"/>
  <c r="K16" i="7" s="1"/>
  <c r="I184" i="27"/>
  <c r="J16" i="7" s="1"/>
  <c r="H184" i="27"/>
  <c r="I16" i="7" s="1"/>
  <c r="G184" i="27"/>
  <c r="H16" i="7" s="1"/>
  <c r="F184" i="27"/>
  <c r="G16" i="7" s="1"/>
  <c r="E184" i="27"/>
  <c r="F16" i="7" s="1"/>
  <c r="B184" i="27"/>
  <c r="C16" i="7" s="1"/>
  <c r="D183" i="27"/>
  <c r="C183" i="27"/>
  <c r="D182" i="27"/>
  <c r="C182" i="27"/>
  <c r="D181" i="27"/>
  <c r="C181" i="27"/>
  <c r="D180" i="27"/>
  <c r="C180" i="27"/>
  <c r="D179" i="27"/>
  <c r="C179" i="27"/>
  <c r="D178" i="27"/>
  <c r="C178" i="27"/>
  <c r="D177" i="27"/>
  <c r="C177" i="27"/>
  <c r="D176" i="27"/>
  <c r="C176" i="27"/>
  <c r="L166" i="27"/>
  <c r="M15" i="7" s="1"/>
  <c r="K166" i="27"/>
  <c r="L15" i="7" s="1"/>
  <c r="J166" i="27"/>
  <c r="K15" i="7" s="1"/>
  <c r="I166" i="27"/>
  <c r="J15" i="7" s="1"/>
  <c r="H166" i="27"/>
  <c r="I15" i="7" s="1"/>
  <c r="G166" i="27"/>
  <c r="H15" i="7" s="1"/>
  <c r="F166" i="27"/>
  <c r="G15" i="7" s="1"/>
  <c r="E166" i="27"/>
  <c r="F15" i="7" s="1"/>
  <c r="B166" i="27"/>
  <c r="C15" i="7" s="1"/>
  <c r="D165" i="27"/>
  <c r="C165" i="27"/>
  <c r="D164" i="27"/>
  <c r="C164" i="27"/>
  <c r="D163" i="27"/>
  <c r="C163" i="27"/>
  <c r="D162" i="27"/>
  <c r="C162" i="27"/>
  <c r="D161" i="27"/>
  <c r="C161" i="27"/>
  <c r="D160" i="27"/>
  <c r="C160" i="27"/>
  <c r="D159" i="27"/>
  <c r="C159" i="27"/>
  <c r="D158" i="27"/>
  <c r="C158" i="27"/>
  <c r="L148" i="27"/>
  <c r="M14" i="7" s="1"/>
  <c r="K148" i="27"/>
  <c r="L14" i="7" s="1"/>
  <c r="J148" i="27"/>
  <c r="K14" i="7" s="1"/>
  <c r="I148" i="27"/>
  <c r="J14" i="7" s="1"/>
  <c r="H148" i="27"/>
  <c r="I14" i="7" s="1"/>
  <c r="G148" i="27"/>
  <c r="H14" i="7" s="1"/>
  <c r="F148" i="27"/>
  <c r="G14" i="7" s="1"/>
  <c r="E148" i="27"/>
  <c r="F14" i="7" s="1"/>
  <c r="B148" i="27"/>
  <c r="C14" i="7" s="1"/>
  <c r="D147" i="27"/>
  <c r="C147" i="27"/>
  <c r="D146" i="27"/>
  <c r="C146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L130" i="27"/>
  <c r="M13" i="7" s="1"/>
  <c r="K130" i="27"/>
  <c r="L13" i="7" s="1"/>
  <c r="J130" i="27"/>
  <c r="K13" i="7" s="1"/>
  <c r="I130" i="27"/>
  <c r="J13" i="7" s="1"/>
  <c r="H130" i="27"/>
  <c r="I13" i="7" s="1"/>
  <c r="G130" i="27"/>
  <c r="H13" i="7" s="1"/>
  <c r="F130" i="27"/>
  <c r="G13" i="7" s="1"/>
  <c r="E130" i="27"/>
  <c r="F13" i="7" s="1"/>
  <c r="B130" i="27"/>
  <c r="C13" i="7" s="1"/>
  <c r="D129" i="27"/>
  <c r="C129" i="27"/>
  <c r="D128" i="27"/>
  <c r="C128" i="27"/>
  <c r="D127" i="27"/>
  <c r="C127" i="27"/>
  <c r="D126" i="27"/>
  <c r="C126" i="27"/>
  <c r="D125" i="27"/>
  <c r="C125" i="27"/>
  <c r="D124" i="27"/>
  <c r="C124" i="27"/>
  <c r="D123" i="27"/>
  <c r="C123" i="27"/>
  <c r="D122" i="27"/>
  <c r="C122" i="27"/>
  <c r="L112" i="27"/>
  <c r="M12" i="7" s="1"/>
  <c r="K112" i="27"/>
  <c r="L12" i="7" s="1"/>
  <c r="J112" i="27"/>
  <c r="K12" i="7" s="1"/>
  <c r="I112" i="27"/>
  <c r="J12" i="7" s="1"/>
  <c r="H112" i="27"/>
  <c r="I12" i="7" s="1"/>
  <c r="G112" i="27"/>
  <c r="H12" i="7" s="1"/>
  <c r="F112" i="27"/>
  <c r="G12" i="7" s="1"/>
  <c r="E112" i="27"/>
  <c r="F12" i="7" s="1"/>
  <c r="B112" i="27"/>
  <c r="C12" i="7" s="1"/>
  <c r="D111" i="27"/>
  <c r="C111" i="27"/>
  <c r="D110" i="27"/>
  <c r="C110" i="27"/>
  <c r="D109" i="27"/>
  <c r="C109" i="27"/>
  <c r="D108" i="27"/>
  <c r="C108" i="27"/>
  <c r="D107" i="27"/>
  <c r="C107" i="27"/>
  <c r="D106" i="27"/>
  <c r="C106" i="27"/>
  <c r="D105" i="27"/>
  <c r="C105" i="27"/>
  <c r="D104" i="27"/>
  <c r="C104" i="27"/>
  <c r="T356" i="29"/>
  <c r="D184" i="27" l="1"/>
  <c r="E16" i="7" s="1"/>
  <c r="C149" i="28"/>
  <c r="H79" i="16"/>
  <c r="C6" i="22"/>
  <c r="L13" i="32"/>
  <c r="D149" i="28"/>
  <c r="C132" i="28"/>
  <c r="C115" i="28"/>
  <c r="C148" i="27"/>
  <c r="D14" i="7" s="1"/>
  <c r="D130" i="27"/>
  <c r="E13" i="7" s="1"/>
  <c r="D166" i="27"/>
  <c r="E15" i="7" s="1"/>
  <c r="C184" i="27"/>
  <c r="D16" i="7" s="1"/>
  <c r="D148" i="27"/>
  <c r="E14" i="7" s="1"/>
  <c r="C166" i="27"/>
  <c r="D15" i="7" s="1"/>
  <c r="C130" i="27"/>
  <c r="D13" i="7" s="1"/>
  <c r="D112" i="27"/>
  <c r="E12" i="7" s="1"/>
  <c r="C112" i="27"/>
  <c r="D12" i="7" s="1"/>
  <c r="C8" i="22"/>
  <c r="C12" i="22"/>
  <c r="C11" i="22"/>
  <c r="C10" i="22"/>
  <c r="C9" i="22"/>
  <c r="C7" i="22"/>
  <c r="C9" i="21"/>
  <c r="C13" i="21"/>
  <c r="C17" i="27"/>
  <c r="C17" i="21"/>
  <c r="C10" i="21"/>
  <c r="C8" i="21"/>
  <c r="C12" i="21"/>
  <c r="C16" i="27"/>
  <c r="C16" i="21"/>
  <c r="C14" i="21"/>
  <c r="C7" i="21"/>
  <c r="C15" i="27"/>
  <c r="C15" i="21"/>
  <c r="C11" i="21"/>
  <c r="N6" i="32"/>
  <c r="L18" i="31"/>
  <c r="D5" i="23" s="1"/>
  <c r="D132" i="28"/>
  <c r="D98" i="28"/>
  <c r="N92" i="28" s="1"/>
  <c r="N131" i="28"/>
  <c r="N113" i="28"/>
  <c r="B6" i="27"/>
  <c r="N165" i="28"/>
  <c r="N164" i="28"/>
  <c r="N163" i="28"/>
  <c r="N162" i="28"/>
  <c r="N160" i="28"/>
  <c r="N161" i="28"/>
  <c r="N159" i="28"/>
  <c r="N148" i="28"/>
  <c r="N147" i="28"/>
  <c r="N146" i="28"/>
  <c r="N145" i="28"/>
  <c r="N143" i="28"/>
  <c r="N144" i="28"/>
  <c r="N142" i="28"/>
  <c r="N130" i="28"/>
  <c r="N129" i="28"/>
  <c r="N128" i="28"/>
  <c r="N126" i="28"/>
  <c r="N127" i="28"/>
  <c r="N125" i="28"/>
  <c r="N114" i="28"/>
  <c r="N112" i="28"/>
  <c r="N111" i="28"/>
  <c r="N109" i="28"/>
  <c r="N110" i="28"/>
  <c r="N108" i="28"/>
  <c r="N97" i="28"/>
  <c r="N96" i="28"/>
  <c r="N95" i="28"/>
  <c r="N94" i="28"/>
  <c r="N93" i="28"/>
  <c r="N91" i="28"/>
  <c r="C427" i="29"/>
  <c r="K427" i="29"/>
  <c r="B18" i="27" l="1"/>
  <c r="N7" i="32"/>
  <c r="C7" i="27"/>
  <c r="D7" i="27"/>
  <c r="E18" i="21"/>
  <c r="F18" i="21"/>
  <c r="G18" i="21"/>
  <c r="K10" i="34" s="1"/>
  <c r="T411" i="29"/>
  <c r="T354" i="29"/>
  <c r="C325" i="29"/>
  <c r="G325" i="29"/>
  <c r="G314" i="29"/>
  <c r="C314" i="29"/>
  <c r="C309" i="29"/>
  <c r="G334" i="29"/>
  <c r="C334" i="29"/>
  <c r="H7" i="21"/>
  <c r="H8" i="21"/>
  <c r="H9" i="21"/>
  <c r="H10" i="21"/>
  <c r="H6" i="21"/>
  <c r="H8" i="22"/>
  <c r="H9" i="22"/>
  <c r="H10" i="22"/>
  <c r="H11" i="22"/>
  <c r="H12" i="22"/>
  <c r="D13" i="22"/>
  <c r="E13" i="22"/>
  <c r="F13" i="22"/>
  <c r="G13" i="22"/>
  <c r="K10" i="22" s="1"/>
  <c r="B11" i="15"/>
  <c r="B8" i="15"/>
  <c r="B7" i="15"/>
  <c r="G6" i="16"/>
  <c r="C14" i="13"/>
  <c r="N25" i="13" s="1"/>
  <c r="E14" i="13"/>
  <c r="F14" i="13"/>
  <c r="N27" i="13" s="1"/>
  <c r="G14" i="13"/>
  <c r="H14" i="13"/>
  <c r="N28" i="13" s="1"/>
  <c r="I14" i="13"/>
  <c r="J14" i="13"/>
  <c r="K14" i="13"/>
  <c r="L14" i="13"/>
  <c r="L81" i="28"/>
  <c r="K81" i="28"/>
  <c r="J81" i="28"/>
  <c r="I81" i="28"/>
  <c r="H81" i="28"/>
  <c r="G81" i="28"/>
  <c r="F81" i="28"/>
  <c r="E81" i="28"/>
  <c r="B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D81" i="28" s="1"/>
  <c r="C74" i="28"/>
  <c r="C81" i="28" s="1"/>
  <c r="E71" i="28"/>
  <c r="L94" i="27"/>
  <c r="M11" i="7" s="1"/>
  <c r="K94" i="27"/>
  <c r="J94" i="27"/>
  <c r="K11" i="7" s="1"/>
  <c r="I94" i="27"/>
  <c r="J11" i="7" s="1"/>
  <c r="H94" i="27"/>
  <c r="I11" i="7" s="1"/>
  <c r="G94" i="27"/>
  <c r="H11" i="7" s="1"/>
  <c r="F94" i="27"/>
  <c r="G11" i="7" s="1"/>
  <c r="E94" i="27"/>
  <c r="F11" i="7" s="1"/>
  <c r="B94" i="27"/>
  <c r="C11" i="7" s="1"/>
  <c r="D93" i="27"/>
  <c r="C93" i="27"/>
  <c r="D92" i="27"/>
  <c r="C92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L64" i="28"/>
  <c r="K64" i="28"/>
  <c r="J64" i="28"/>
  <c r="I64" i="28"/>
  <c r="H64" i="28"/>
  <c r="G64" i="28"/>
  <c r="F64" i="28"/>
  <c r="E64" i="28"/>
  <c r="B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L47" i="28"/>
  <c r="K47" i="28"/>
  <c r="J47" i="28"/>
  <c r="I47" i="28"/>
  <c r="H47" i="28"/>
  <c r="G47" i="28"/>
  <c r="F47" i="28"/>
  <c r="E47" i="28"/>
  <c r="B47" i="28"/>
  <c r="D46" i="28"/>
  <c r="C46" i="28"/>
  <c r="D45" i="28"/>
  <c r="C45" i="28"/>
  <c r="D44" i="28"/>
  <c r="C44" i="28"/>
  <c r="D43" i="28"/>
  <c r="C43" i="28"/>
  <c r="D42" i="28"/>
  <c r="C42" i="28"/>
  <c r="D41" i="28"/>
  <c r="C41" i="28"/>
  <c r="D40" i="28"/>
  <c r="C40" i="28"/>
  <c r="L13" i="28"/>
  <c r="K13" i="28"/>
  <c r="J13" i="28"/>
  <c r="I13" i="28"/>
  <c r="H13" i="28"/>
  <c r="G13" i="28"/>
  <c r="F13" i="28"/>
  <c r="E13" i="28"/>
  <c r="B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E54" i="28"/>
  <c r="L76" i="27"/>
  <c r="M10" i="7" s="1"/>
  <c r="K76" i="27"/>
  <c r="J76" i="27"/>
  <c r="K10" i="7" s="1"/>
  <c r="I76" i="27"/>
  <c r="J10" i="7" s="1"/>
  <c r="H76" i="27"/>
  <c r="G76" i="27"/>
  <c r="H10" i="7" s="1"/>
  <c r="F76" i="27"/>
  <c r="G10" i="7" s="1"/>
  <c r="E76" i="27"/>
  <c r="F10" i="7" s="1"/>
  <c r="B76" i="27"/>
  <c r="C10" i="7" s="1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E37" i="28"/>
  <c r="B9" i="7"/>
  <c r="L58" i="27"/>
  <c r="M9" i="7" s="1"/>
  <c r="K58" i="27"/>
  <c r="L9" i="7" s="1"/>
  <c r="J58" i="27"/>
  <c r="K9" i="7" s="1"/>
  <c r="I58" i="27"/>
  <c r="J9" i="7" s="1"/>
  <c r="H58" i="27"/>
  <c r="G58" i="27"/>
  <c r="H9" i="7" s="1"/>
  <c r="F58" i="27"/>
  <c r="E58" i="27"/>
  <c r="F9" i="7" s="1"/>
  <c r="B58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C23" i="28"/>
  <c r="L30" i="28"/>
  <c r="K30" i="28"/>
  <c r="J30" i="28"/>
  <c r="I30" i="28"/>
  <c r="H30" i="28"/>
  <c r="G30" i="28"/>
  <c r="F30" i="28"/>
  <c r="E30" i="28"/>
  <c r="B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E20" i="28"/>
  <c r="B8" i="7"/>
  <c r="L40" i="27"/>
  <c r="M8" i="7" s="1"/>
  <c r="K40" i="27"/>
  <c r="L8" i="7" s="1"/>
  <c r="J40" i="27"/>
  <c r="K8" i="7" s="1"/>
  <c r="I40" i="27"/>
  <c r="J8" i="7" s="1"/>
  <c r="H40" i="27"/>
  <c r="I8" i="7" s="1"/>
  <c r="G40" i="27"/>
  <c r="H8" i="7" s="1"/>
  <c r="F40" i="27"/>
  <c r="G8" i="7" s="1"/>
  <c r="E40" i="27"/>
  <c r="F8" i="7" s="1"/>
  <c r="B40" i="27"/>
  <c r="D32" i="27"/>
  <c r="C32" i="27"/>
  <c r="D31" i="27"/>
  <c r="C31" i="27"/>
  <c r="D30" i="27"/>
  <c r="C30" i="27"/>
  <c r="D29" i="27"/>
  <c r="C29" i="27"/>
  <c r="D28" i="27"/>
  <c r="C28" i="27"/>
  <c r="G7" i="7"/>
  <c r="J7" i="7"/>
  <c r="K7" i="7"/>
  <c r="L7" i="7"/>
  <c r="M7" i="7"/>
  <c r="B7" i="7"/>
  <c r="E3" i="28"/>
  <c r="F13" i="6"/>
  <c r="G13" i="6"/>
  <c r="H13" i="6"/>
  <c r="I13" i="6"/>
  <c r="J13" i="6"/>
  <c r="K13" i="6"/>
  <c r="L13" i="6"/>
  <c r="K8" i="22" l="1"/>
  <c r="C64" i="28"/>
  <c r="N44" i="28"/>
  <c r="N43" i="28"/>
  <c r="C40" i="27"/>
  <c r="D8" i="7" s="1"/>
  <c r="C76" i="27"/>
  <c r="D10" i="7" s="1"/>
  <c r="C94" i="27"/>
  <c r="D11" i="7" s="1"/>
  <c r="N29" i="13"/>
  <c r="N10" i="28"/>
  <c r="D64" i="28"/>
  <c r="N61" i="28"/>
  <c r="N46" i="28"/>
  <c r="N29" i="28"/>
  <c r="N28" i="28"/>
  <c r="N11" i="28"/>
  <c r="N12" i="28"/>
  <c r="N80" i="28"/>
  <c r="N74" i="28"/>
  <c r="N63" i="28"/>
  <c r="N57" i="28"/>
  <c r="N40" i="28"/>
  <c r="C8" i="7"/>
  <c r="N23" i="28"/>
  <c r="N79" i="28"/>
  <c r="L11" i="7"/>
  <c r="N78" i="28"/>
  <c r="D30" i="28"/>
  <c r="D58" i="27"/>
  <c r="E9" i="7" s="1"/>
  <c r="C58" i="27"/>
  <c r="D9" i="7" s="1"/>
  <c r="D47" i="28"/>
  <c r="C47" i="28"/>
  <c r="C30" i="28"/>
  <c r="D40" i="27"/>
  <c r="E8" i="7" s="1"/>
  <c r="N8" i="28"/>
  <c r="D13" i="28"/>
  <c r="C13" i="28"/>
  <c r="K9" i="22"/>
  <c r="H18" i="21"/>
  <c r="N77" i="28"/>
  <c r="N62" i="28"/>
  <c r="D94" i="27"/>
  <c r="E11" i="7" s="1"/>
  <c r="N76" i="28"/>
  <c r="N60" i="28"/>
  <c r="L10" i="7"/>
  <c r="N59" i="28"/>
  <c r="I10" i="7"/>
  <c r="D76" i="27"/>
  <c r="I9" i="7"/>
  <c r="N42" i="28"/>
  <c r="N45" i="28"/>
  <c r="G9" i="7"/>
  <c r="C9" i="7"/>
  <c r="N26" i="28"/>
  <c r="N27" i="28"/>
  <c r="K17" i="7"/>
  <c r="N25" i="28"/>
  <c r="I7" i="7"/>
  <c r="N9" i="28"/>
  <c r="J17" i="7"/>
  <c r="M17" i="7"/>
  <c r="F7" i="7"/>
  <c r="F17" i="7" s="1"/>
  <c r="G423" i="29"/>
  <c r="C423" i="29"/>
  <c r="O422" i="29"/>
  <c r="K422" i="29"/>
  <c r="O421" i="29"/>
  <c r="K421" i="29"/>
  <c r="O420" i="29"/>
  <c r="K420" i="29"/>
  <c r="O419" i="29"/>
  <c r="K419" i="29"/>
  <c r="O418" i="29"/>
  <c r="K418" i="29"/>
  <c r="O417" i="29"/>
  <c r="K417" i="29"/>
  <c r="O416" i="29"/>
  <c r="K416" i="29"/>
  <c r="O415" i="29"/>
  <c r="K415" i="29"/>
  <c r="O414" i="29"/>
  <c r="K414" i="29"/>
  <c r="O413" i="29"/>
  <c r="K413" i="29"/>
  <c r="O412" i="29"/>
  <c r="K412" i="29"/>
  <c r="O411" i="29"/>
  <c r="K411" i="29"/>
  <c r="G409" i="29"/>
  <c r="C409" i="29"/>
  <c r="O408" i="29"/>
  <c r="K408" i="29"/>
  <c r="O407" i="29"/>
  <c r="K407" i="29"/>
  <c r="O406" i="29"/>
  <c r="K406" i="29"/>
  <c r="O405" i="29"/>
  <c r="K405" i="29"/>
  <c r="O404" i="29"/>
  <c r="K404" i="29"/>
  <c r="O403" i="29"/>
  <c r="K403" i="29"/>
  <c r="O402" i="29"/>
  <c r="K402" i="29"/>
  <c r="O401" i="29"/>
  <c r="K401" i="29"/>
  <c r="O400" i="29"/>
  <c r="K400" i="29"/>
  <c r="O399" i="29"/>
  <c r="K399" i="29"/>
  <c r="G397" i="29"/>
  <c r="C397" i="29"/>
  <c r="O396" i="29"/>
  <c r="K396" i="29"/>
  <c r="O395" i="29"/>
  <c r="K395" i="29"/>
  <c r="O394" i="29"/>
  <c r="K394" i="29"/>
  <c r="O393" i="29"/>
  <c r="K393" i="29"/>
  <c r="O392" i="29"/>
  <c r="K392" i="29"/>
  <c r="O391" i="29"/>
  <c r="K391" i="29"/>
  <c r="G389" i="29"/>
  <c r="C389" i="29"/>
  <c r="O388" i="29"/>
  <c r="K388" i="29"/>
  <c r="O387" i="29"/>
  <c r="K387" i="29"/>
  <c r="O386" i="29"/>
  <c r="K386" i="29"/>
  <c r="O385" i="29"/>
  <c r="K385" i="29"/>
  <c r="O384" i="29"/>
  <c r="K384" i="29"/>
  <c r="O383" i="29"/>
  <c r="K383" i="29"/>
  <c r="O382" i="29"/>
  <c r="K382" i="29"/>
  <c r="O381" i="29"/>
  <c r="K381" i="29"/>
  <c r="O380" i="29"/>
  <c r="K380" i="29"/>
  <c r="O379" i="29"/>
  <c r="K379" i="29"/>
  <c r="O378" i="29"/>
  <c r="K378" i="29"/>
  <c r="O377" i="29"/>
  <c r="K377" i="29"/>
  <c r="O376" i="29"/>
  <c r="K376" i="29"/>
  <c r="O375" i="29"/>
  <c r="K375" i="29"/>
  <c r="O374" i="29"/>
  <c r="K374" i="29"/>
  <c r="G372" i="29"/>
  <c r="C372" i="29"/>
  <c r="O371" i="29"/>
  <c r="K371" i="29"/>
  <c r="O370" i="29"/>
  <c r="K370" i="29"/>
  <c r="O369" i="29"/>
  <c r="K369" i="29"/>
  <c r="O368" i="29"/>
  <c r="K368" i="29"/>
  <c r="O367" i="29"/>
  <c r="K367" i="29"/>
  <c r="G365" i="29"/>
  <c r="C365" i="29"/>
  <c r="O364" i="29"/>
  <c r="K364" i="29"/>
  <c r="O363" i="29"/>
  <c r="K363" i="29"/>
  <c r="O362" i="29"/>
  <c r="K362" i="29"/>
  <c r="O361" i="29"/>
  <c r="K361" i="29"/>
  <c r="G359" i="29"/>
  <c r="C359" i="29"/>
  <c r="O358" i="29"/>
  <c r="K358" i="29"/>
  <c r="O357" i="29"/>
  <c r="K357" i="29"/>
  <c r="O356" i="29"/>
  <c r="K356" i="29"/>
  <c r="O355" i="29"/>
  <c r="K355" i="29"/>
  <c r="O354" i="29"/>
  <c r="K354" i="29"/>
  <c r="G352" i="29"/>
  <c r="C352" i="29"/>
  <c r="O351" i="29"/>
  <c r="K351" i="29"/>
  <c r="O350" i="29"/>
  <c r="K350" i="29"/>
  <c r="O349" i="29"/>
  <c r="K349" i="29"/>
  <c r="O348" i="29"/>
  <c r="K348" i="29"/>
  <c r="O347" i="29"/>
  <c r="K347" i="29"/>
  <c r="O346" i="29"/>
  <c r="K346" i="29"/>
  <c r="O345" i="29"/>
  <c r="K345" i="29"/>
  <c r="O344" i="29"/>
  <c r="K344" i="29"/>
  <c r="G342" i="29"/>
  <c r="C342" i="29"/>
  <c r="O341" i="29"/>
  <c r="K341" i="29"/>
  <c r="O340" i="29"/>
  <c r="K340" i="29"/>
  <c r="O339" i="29"/>
  <c r="K339" i="29"/>
  <c r="O338" i="29"/>
  <c r="K338" i="29"/>
  <c r="O337" i="29"/>
  <c r="K337" i="29"/>
  <c r="O336" i="29"/>
  <c r="K336" i="29"/>
  <c r="O333" i="29"/>
  <c r="K333" i="29"/>
  <c r="O332" i="29"/>
  <c r="K332" i="29"/>
  <c r="O331" i="29"/>
  <c r="K331" i="29"/>
  <c r="O330" i="29"/>
  <c r="K330" i="29"/>
  <c r="O329" i="29"/>
  <c r="K329" i="29"/>
  <c r="O328" i="29"/>
  <c r="K328" i="29"/>
  <c r="O327" i="29"/>
  <c r="K327" i="29"/>
  <c r="O324" i="29"/>
  <c r="K324" i="29"/>
  <c r="O323" i="29"/>
  <c r="K323" i="29"/>
  <c r="O322" i="29"/>
  <c r="K322" i="29"/>
  <c r="O321" i="29"/>
  <c r="K321" i="29"/>
  <c r="O320" i="29"/>
  <c r="K320" i="29"/>
  <c r="O319" i="29"/>
  <c r="K319" i="29"/>
  <c r="O318" i="29"/>
  <c r="K318" i="29"/>
  <c r="O317" i="29"/>
  <c r="K317" i="29"/>
  <c r="O316" i="29"/>
  <c r="K316" i="29"/>
  <c r="O313" i="29"/>
  <c r="K313" i="29"/>
  <c r="O312" i="29"/>
  <c r="K312" i="29"/>
  <c r="O311" i="29"/>
  <c r="K311" i="29"/>
  <c r="N24" i="28" l="1"/>
  <c r="L17" i="7"/>
  <c r="N75" i="28"/>
  <c r="I17" i="7"/>
  <c r="N41" i="28"/>
  <c r="T316" i="29"/>
  <c r="O334" i="29"/>
  <c r="G17" i="7"/>
  <c r="N58" i="28"/>
  <c r="E10" i="7"/>
  <c r="T323" i="29"/>
  <c r="O325" i="29"/>
  <c r="T361" i="29"/>
  <c r="O342" i="29"/>
  <c r="K342" i="29"/>
  <c r="O352" i="29"/>
  <c r="K352" i="29"/>
  <c r="T345" i="29"/>
  <c r="O372" i="29"/>
  <c r="K372" i="29"/>
  <c r="O389" i="29"/>
  <c r="K389" i="29"/>
  <c r="K397" i="29"/>
  <c r="O397" i="29"/>
  <c r="O409" i="29"/>
  <c r="K409" i="29"/>
  <c r="T422" i="29"/>
  <c r="O423" i="29"/>
  <c r="K423" i="29"/>
  <c r="K359" i="29"/>
  <c r="O359" i="29"/>
  <c r="K325" i="29"/>
  <c r="T325" i="29" s="1"/>
  <c r="K334" i="29"/>
  <c r="T334" i="29" s="1"/>
  <c r="K314" i="29"/>
  <c r="O314" i="29"/>
  <c r="O365" i="29"/>
  <c r="K365" i="29"/>
  <c r="G309" i="29"/>
  <c r="O308" i="29"/>
  <c r="K308" i="29"/>
  <c r="O307" i="29"/>
  <c r="K307" i="29"/>
  <c r="O306" i="29"/>
  <c r="K306" i="29"/>
  <c r="O305" i="29"/>
  <c r="K305" i="29"/>
  <c r="O304" i="29"/>
  <c r="K304" i="29"/>
  <c r="O303" i="29"/>
  <c r="K303" i="29"/>
  <c r="G301" i="29"/>
  <c r="C301" i="29"/>
  <c r="O300" i="29"/>
  <c r="K300" i="29"/>
  <c r="O299" i="29"/>
  <c r="K299" i="29"/>
  <c r="O298" i="29"/>
  <c r="K298" i="29"/>
  <c r="O297" i="29"/>
  <c r="K297" i="29"/>
  <c r="O296" i="29"/>
  <c r="K296" i="29"/>
  <c r="O295" i="29"/>
  <c r="K295" i="29"/>
  <c r="O294" i="29"/>
  <c r="K294" i="29"/>
  <c r="O293" i="29"/>
  <c r="K293" i="29"/>
  <c r="O292" i="29"/>
  <c r="K292" i="29"/>
  <c r="G290" i="29"/>
  <c r="C290" i="29"/>
  <c r="O289" i="29"/>
  <c r="K289" i="29"/>
  <c r="O288" i="29"/>
  <c r="K288" i="29"/>
  <c r="O287" i="29"/>
  <c r="K287" i="29"/>
  <c r="O286" i="29"/>
  <c r="K286" i="29"/>
  <c r="O285" i="29"/>
  <c r="K285" i="29"/>
  <c r="O284" i="29"/>
  <c r="K284" i="29"/>
  <c r="O283" i="29"/>
  <c r="K283" i="29"/>
  <c r="O282" i="29"/>
  <c r="K282" i="29"/>
  <c r="O281" i="29"/>
  <c r="K281" i="29"/>
  <c r="O280" i="29"/>
  <c r="K280" i="29"/>
  <c r="O279" i="29"/>
  <c r="K279" i="29"/>
  <c r="O278" i="29"/>
  <c r="K278" i="29"/>
  <c r="O277" i="29"/>
  <c r="K277" i="29"/>
  <c r="O276" i="29"/>
  <c r="K276" i="29"/>
  <c r="O275" i="29"/>
  <c r="K275" i="29"/>
  <c r="O274" i="29"/>
  <c r="K274" i="29"/>
  <c r="O273" i="29"/>
  <c r="K273" i="29"/>
  <c r="O272" i="29"/>
  <c r="K272" i="29"/>
  <c r="G270" i="29"/>
  <c r="C270" i="29"/>
  <c r="O269" i="29"/>
  <c r="K269" i="29"/>
  <c r="O268" i="29"/>
  <c r="K268" i="29"/>
  <c r="O267" i="29"/>
  <c r="K267" i="29"/>
  <c r="O266" i="29"/>
  <c r="K266" i="29"/>
  <c r="O265" i="29"/>
  <c r="K265" i="29"/>
  <c r="O264" i="29"/>
  <c r="K264" i="29"/>
  <c r="O263" i="29"/>
  <c r="K263" i="29"/>
  <c r="O262" i="29"/>
  <c r="K262" i="29"/>
  <c r="O261" i="29"/>
  <c r="K261" i="29"/>
  <c r="T260" i="29"/>
  <c r="O260" i="29"/>
  <c r="K260" i="29"/>
  <c r="O259" i="29"/>
  <c r="K259" i="29"/>
  <c r="O258" i="29"/>
  <c r="K258" i="29"/>
  <c r="O257" i="29"/>
  <c r="K257" i="29"/>
  <c r="O256" i="29"/>
  <c r="K256" i="29"/>
  <c r="O255" i="29"/>
  <c r="K255" i="29"/>
  <c r="O254" i="29"/>
  <c r="K254" i="29"/>
  <c r="T253" i="29"/>
  <c r="O253" i="29"/>
  <c r="K253" i="29"/>
  <c r="G251" i="29"/>
  <c r="C251" i="29"/>
  <c r="O250" i="29"/>
  <c r="K250" i="29"/>
  <c r="O249" i="29"/>
  <c r="K249" i="29"/>
  <c r="O248" i="29"/>
  <c r="K248" i="29"/>
  <c r="O247" i="29"/>
  <c r="K247" i="29"/>
  <c r="O246" i="29"/>
  <c r="K246" i="29"/>
  <c r="O245" i="29"/>
  <c r="K245" i="29"/>
  <c r="O244" i="29"/>
  <c r="K244" i="29"/>
  <c r="O243" i="29"/>
  <c r="K243" i="29"/>
  <c r="O242" i="29"/>
  <c r="K242" i="29"/>
  <c r="O241" i="29"/>
  <c r="K241" i="29"/>
  <c r="O240" i="29"/>
  <c r="K240" i="29"/>
  <c r="G238" i="29"/>
  <c r="C238" i="29"/>
  <c r="O237" i="29"/>
  <c r="K237" i="29"/>
  <c r="O236" i="29"/>
  <c r="K236" i="29"/>
  <c r="O235" i="29"/>
  <c r="K235" i="29"/>
  <c r="O234" i="29"/>
  <c r="K234" i="29"/>
  <c r="O233" i="29"/>
  <c r="K233" i="29"/>
  <c r="O232" i="29"/>
  <c r="K232" i="29"/>
  <c r="O231" i="29"/>
  <c r="K231" i="29"/>
  <c r="O230" i="29"/>
  <c r="K230" i="29"/>
  <c r="O229" i="29"/>
  <c r="K229" i="29"/>
  <c r="O228" i="29"/>
  <c r="K228" i="29"/>
  <c r="O227" i="29"/>
  <c r="K227" i="29"/>
  <c r="O226" i="29"/>
  <c r="K226" i="29"/>
  <c r="O225" i="29"/>
  <c r="K225" i="29"/>
  <c r="O224" i="29"/>
  <c r="K224" i="29"/>
  <c r="O223" i="29"/>
  <c r="K223" i="29"/>
  <c r="O222" i="29"/>
  <c r="K222" i="29"/>
  <c r="O221" i="29"/>
  <c r="K221" i="29"/>
  <c r="O220" i="29"/>
  <c r="K220" i="29"/>
  <c r="O219" i="29"/>
  <c r="K219" i="29"/>
  <c r="O218" i="29"/>
  <c r="K218" i="29"/>
  <c r="O217" i="29"/>
  <c r="K217" i="29"/>
  <c r="O216" i="29"/>
  <c r="K216" i="29"/>
  <c r="O215" i="29"/>
  <c r="K215" i="29"/>
  <c r="T214" i="29"/>
  <c r="O214" i="29"/>
  <c r="K214" i="29"/>
  <c r="G212" i="29"/>
  <c r="C212" i="29"/>
  <c r="O211" i="29"/>
  <c r="K211" i="29"/>
  <c r="O210" i="29"/>
  <c r="K210" i="29"/>
  <c r="O209" i="29"/>
  <c r="K209" i="29"/>
  <c r="O208" i="29"/>
  <c r="K208" i="29"/>
  <c r="O207" i="29"/>
  <c r="K207" i="29"/>
  <c r="O206" i="29"/>
  <c r="K206" i="29"/>
  <c r="O205" i="29"/>
  <c r="K205" i="29"/>
  <c r="O204" i="29"/>
  <c r="K204" i="29"/>
  <c r="O203" i="29"/>
  <c r="K203" i="29"/>
  <c r="O202" i="29"/>
  <c r="K202" i="29"/>
  <c r="O201" i="29"/>
  <c r="K201" i="29"/>
  <c r="O200" i="29"/>
  <c r="K200" i="29"/>
  <c r="O199" i="29"/>
  <c r="K199" i="29"/>
  <c r="O198" i="29"/>
  <c r="K198" i="29"/>
  <c r="O197" i="29"/>
  <c r="K197" i="29"/>
  <c r="O196" i="29"/>
  <c r="K196" i="29"/>
  <c r="O195" i="29"/>
  <c r="K195" i="29"/>
  <c r="O194" i="29"/>
  <c r="K194" i="29"/>
  <c r="O193" i="29"/>
  <c r="K193" i="29"/>
  <c r="O192" i="29"/>
  <c r="K192" i="29"/>
  <c r="O191" i="29"/>
  <c r="K191" i="29"/>
  <c r="T188" i="29" s="1"/>
  <c r="O190" i="29"/>
  <c r="K190" i="29"/>
  <c r="O189" i="29"/>
  <c r="K189" i="29"/>
  <c r="O188" i="29"/>
  <c r="K188" i="29"/>
  <c r="O187" i="29"/>
  <c r="K187" i="29"/>
  <c r="O186" i="29"/>
  <c r="K186" i="29"/>
  <c r="O185" i="29"/>
  <c r="K185" i="29"/>
  <c r="O184" i="29"/>
  <c r="K184" i="29"/>
  <c r="O183" i="29"/>
  <c r="K183" i="29"/>
  <c r="O182" i="29"/>
  <c r="K182" i="29"/>
  <c r="T181" i="29"/>
  <c r="O181" i="29"/>
  <c r="K181" i="29"/>
  <c r="G179" i="29"/>
  <c r="C179" i="29"/>
  <c r="O178" i="29"/>
  <c r="K178" i="29"/>
  <c r="O177" i="29"/>
  <c r="K177" i="29"/>
  <c r="O176" i="29"/>
  <c r="K176" i="29"/>
  <c r="O175" i="29"/>
  <c r="K175" i="29"/>
  <c r="O174" i="29"/>
  <c r="K174" i="29"/>
  <c r="O173" i="29"/>
  <c r="K173" i="29"/>
  <c r="O172" i="29"/>
  <c r="K172" i="29"/>
  <c r="O171" i="29"/>
  <c r="K171" i="29"/>
  <c r="O170" i="29"/>
  <c r="K170" i="29"/>
  <c r="O169" i="29"/>
  <c r="K169" i="29"/>
  <c r="T168" i="29"/>
  <c r="O168" i="29"/>
  <c r="K168" i="29"/>
  <c r="O167" i="29"/>
  <c r="K167" i="29"/>
  <c r="O166" i="29"/>
  <c r="K166" i="29"/>
  <c r="O165" i="29"/>
  <c r="K165" i="29"/>
  <c r="O164" i="29"/>
  <c r="K164" i="29"/>
  <c r="O163" i="29"/>
  <c r="K163" i="29"/>
  <c r="O162" i="29"/>
  <c r="K162" i="29"/>
  <c r="T161" i="29"/>
  <c r="O161" i="29"/>
  <c r="K161" i="29"/>
  <c r="G159" i="29"/>
  <c r="C159" i="29"/>
  <c r="O158" i="29"/>
  <c r="K158" i="29"/>
  <c r="O157" i="29"/>
  <c r="K157" i="29"/>
  <c r="O156" i="29"/>
  <c r="K156" i="29"/>
  <c r="O155" i="29"/>
  <c r="K155" i="29"/>
  <c r="O154" i="29"/>
  <c r="K154" i="29"/>
  <c r="O153" i="29"/>
  <c r="K153" i="29"/>
  <c r="O152" i="29"/>
  <c r="K152" i="29"/>
  <c r="O151" i="29"/>
  <c r="K151" i="29"/>
  <c r="O150" i="29"/>
  <c r="K150" i="29"/>
  <c r="O149" i="29"/>
  <c r="K149" i="29"/>
  <c r="O148" i="29"/>
  <c r="K148" i="29"/>
  <c r="O147" i="29"/>
  <c r="K147" i="29"/>
  <c r="O146" i="29"/>
  <c r="K146" i="29"/>
  <c r="O145" i="29"/>
  <c r="K145" i="29"/>
  <c r="O144" i="29"/>
  <c r="K144" i="29"/>
  <c r="O143" i="29"/>
  <c r="K143" i="29"/>
  <c r="O142" i="29"/>
  <c r="K142" i="29"/>
  <c r="O141" i="29"/>
  <c r="K141" i="29"/>
  <c r="O140" i="29"/>
  <c r="K140" i="29"/>
  <c r="T139" i="29"/>
  <c r="O139" i="29"/>
  <c r="K139" i="29"/>
  <c r="O138" i="29"/>
  <c r="K138" i="29"/>
  <c r="O137" i="29"/>
  <c r="K137" i="29"/>
  <c r="O136" i="29"/>
  <c r="K136" i="29"/>
  <c r="O135" i="29"/>
  <c r="K135" i="29"/>
  <c r="O134" i="29"/>
  <c r="K134" i="29"/>
  <c r="O133" i="29"/>
  <c r="K133" i="29"/>
  <c r="T132" i="29"/>
  <c r="O132" i="29"/>
  <c r="K132" i="29"/>
  <c r="G130" i="29"/>
  <c r="C130" i="29"/>
  <c r="T129" i="29"/>
  <c r="O129" i="29"/>
  <c r="K129" i="29"/>
  <c r="O128" i="29"/>
  <c r="K128" i="29"/>
  <c r="O127" i="29"/>
  <c r="K127" i="29"/>
  <c r="O126" i="29"/>
  <c r="K126" i="29"/>
  <c r="O125" i="29"/>
  <c r="K125" i="29"/>
  <c r="O124" i="29"/>
  <c r="K124" i="29"/>
  <c r="T123" i="29"/>
  <c r="O123" i="29"/>
  <c r="K123" i="29"/>
  <c r="O122" i="29"/>
  <c r="K122" i="29"/>
  <c r="O121" i="29"/>
  <c r="K121" i="29"/>
  <c r="O120" i="29"/>
  <c r="K120" i="29"/>
  <c r="G118" i="29"/>
  <c r="C118" i="29"/>
  <c r="O117" i="29"/>
  <c r="K117" i="29"/>
  <c r="O116" i="29"/>
  <c r="K116" i="29"/>
  <c r="O115" i="29"/>
  <c r="K115" i="29"/>
  <c r="O114" i="29"/>
  <c r="K114" i="29"/>
  <c r="O113" i="29"/>
  <c r="K113" i="29"/>
  <c r="O112" i="29"/>
  <c r="K112" i="29"/>
  <c r="O111" i="29"/>
  <c r="K111" i="29"/>
  <c r="O110" i="29"/>
  <c r="K110" i="29"/>
  <c r="O109" i="29"/>
  <c r="K109" i="29"/>
  <c r="O108" i="29"/>
  <c r="K108" i="29"/>
  <c r="O107" i="29"/>
  <c r="K107" i="29"/>
  <c r="G105" i="29"/>
  <c r="C105" i="29"/>
  <c r="O104" i="29"/>
  <c r="K104" i="29"/>
  <c r="O103" i="29"/>
  <c r="K103" i="29"/>
  <c r="O102" i="29"/>
  <c r="K102" i="29"/>
  <c r="T101" i="29"/>
  <c r="O101" i="29"/>
  <c r="K101" i="29"/>
  <c r="O100" i="29"/>
  <c r="K100" i="29"/>
  <c r="O99" i="29"/>
  <c r="K99" i="29"/>
  <c r="O98" i="29"/>
  <c r="K98" i="29"/>
  <c r="O97" i="29"/>
  <c r="K97" i="29"/>
  <c r="O96" i="29"/>
  <c r="K96" i="29"/>
  <c r="O95" i="29"/>
  <c r="K95" i="29"/>
  <c r="O94" i="29"/>
  <c r="K94" i="29"/>
  <c r="O93" i="29"/>
  <c r="K93" i="29"/>
  <c r="O92" i="29"/>
  <c r="K92" i="29"/>
  <c r="G90" i="29"/>
  <c r="C90" i="29"/>
  <c r="O89" i="29"/>
  <c r="K89" i="29"/>
  <c r="O88" i="29"/>
  <c r="K88" i="29"/>
  <c r="O87" i="29"/>
  <c r="K87" i="29"/>
  <c r="O86" i="29"/>
  <c r="K86" i="29"/>
  <c r="O85" i="29"/>
  <c r="K85" i="29"/>
  <c r="O84" i="29"/>
  <c r="K84" i="29"/>
  <c r="O83" i="29"/>
  <c r="K83" i="29"/>
  <c r="O82" i="29"/>
  <c r="K82" i="29"/>
  <c r="O81" i="29"/>
  <c r="K81" i="29"/>
  <c r="O80" i="29"/>
  <c r="K80" i="29"/>
  <c r="O79" i="29"/>
  <c r="K79" i="29"/>
  <c r="O78" i="29"/>
  <c r="K78" i="29"/>
  <c r="O77" i="29"/>
  <c r="K77" i="29"/>
  <c r="O76" i="29"/>
  <c r="K76" i="29"/>
  <c r="O75" i="29"/>
  <c r="K75" i="29"/>
  <c r="O74" i="29"/>
  <c r="K74" i="29"/>
  <c r="O73" i="29"/>
  <c r="K73" i="29"/>
  <c r="O72" i="29"/>
  <c r="K72" i="29"/>
  <c r="O71" i="29"/>
  <c r="K71" i="29"/>
  <c r="O70" i="29"/>
  <c r="K70" i="29"/>
  <c r="O69" i="29"/>
  <c r="K69" i="29"/>
  <c r="O68" i="29"/>
  <c r="K68" i="29"/>
  <c r="O67" i="29"/>
  <c r="K67" i="29"/>
  <c r="E5" i="23" s="1"/>
  <c r="O66" i="29"/>
  <c r="K66" i="29"/>
  <c r="O65" i="29"/>
  <c r="K65" i="29"/>
  <c r="O64" i="29"/>
  <c r="K64" i="29"/>
  <c r="T63" i="29"/>
  <c r="O63" i="29"/>
  <c r="K63" i="29"/>
  <c r="T62" i="29"/>
  <c r="O62" i="29"/>
  <c r="K62" i="29"/>
  <c r="O61" i="29"/>
  <c r="K61" i="29"/>
  <c r="T60" i="29"/>
  <c r="O60" i="29"/>
  <c r="K60" i="29"/>
  <c r="O59" i="29"/>
  <c r="K59" i="29"/>
  <c r="O12" i="7" s="1"/>
  <c r="O58" i="29"/>
  <c r="K58" i="29"/>
  <c r="O57" i="29"/>
  <c r="K57" i="29"/>
  <c r="T56" i="29"/>
  <c r="O56" i="29"/>
  <c r="K56" i="29"/>
  <c r="G54" i="29"/>
  <c r="C54" i="29"/>
  <c r="O53" i="29"/>
  <c r="K53" i="29"/>
  <c r="O52" i="29"/>
  <c r="K52" i="29"/>
  <c r="O51" i="29"/>
  <c r="K51" i="29"/>
  <c r="O50" i="29"/>
  <c r="K50" i="29"/>
  <c r="O49" i="29"/>
  <c r="K49" i="29"/>
  <c r="O48" i="29"/>
  <c r="K48" i="29"/>
  <c r="O47" i="29"/>
  <c r="K47" i="29"/>
  <c r="O46" i="29"/>
  <c r="K46" i="29"/>
  <c r="O45" i="29"/>
  <c r="K45" i="29"/>
  <c r="O44" i="29"/>
  <c r="K44" i="29"/>
  <c r="O43" i="29"/>
  <c r="K43" i="29"/>
  <c r="O42" i="29"/>
  <c r="K42" i="29"/>
  <c r="O41" i="29"/>
  <c r="K41" i="29"/>
  <c r="O40" i="29"/>
  <c r="K40" i="29"/>
  <c r="O39" i="29"/>
  <c r="K39" i="29"/>
  <c r="O38" i="29"/>
  <c r="K38" i="29"/>
  <c r="O37" i="29"/>
  <c r="K37" i="29"/>
  <c r="O36" i="29"/>
  <c r="K36" i="29"/>
  <c r="O35" i="29"/>
  <c r="K35" i="29"/>
  <c r="O34" i="29"/>
  <c r="K34" i="29"/>
  <c r="O33" i="29"/>
  <c r="K33" i="29"/>
  <c r="O32" i="29"/>
  <c r="K32" i="29"/>
  <c r="O31" i="29"/>
  <c r="K31" i="29"/>
  <c r="O30" i="29"/>
  <c r="K30" i="29"/>
  <c r="O29" i="29"/>
  <c r="K29" i="29"/>
  <c r="O28" i="29"/>
  <c r="K28" i="29"/>
  <c r="O27" i="29"/>
  <c r="K27" i="29"/>
  <c r="O26" i="29"/>
  <c r="K26" i="29"/>
  <c r="O25" i="29"/>
  <c r="K25" i="29"/>
  <c r="O24" i="29"/>
  <c r="K24" i="29"/>
  <c r="O23" i="29"/>
  <c r="K23" i="29"/>
  <c r="E5" i="35" s="1"/>
  <c r="H5" i="35" s="1"/>
  <c r="O22" i="29"/>
  <c r="K22" i="29"/>
  <c r="O21" i="29"/>
  <c r="K21" i="29"/>
  <c r="O20" i="29"/>
  <c r="K20" i="29"/>
  <c r="T19" i="29"/>
  <c r="O19" i="29"/>
  <c r="K19" i="29"/>
  <c r="O18" i="29"/>
  <c r="K18" i="29"/>
  <c r="O17" i="29"/>
  <c r="K17" i="29"/>
  <c r="O16" i="29"/>
  <c r="K16" i="29"/>
  <c r="O15" i="29"/>
  <c r="K15" i="29"/>
  <c r="T14" i="29"/>
  <c r="O14" i="29"/>
  <c r="K14" i="29"/>
  <c r="O13" i="29"/>
  <c r="K13" i="29"/>
  <c r="O12" i="29"/>
  <c r="K12" i="29"/>
  <c r="O11" i="29"/>
  <c r="K11" i="29"/>
  <c r="O10" i="29"/>
  <c r="K10" i="29"/>
  <c r="O9" i="29"/>
  <c r="K9" i="29"/>
  <c r="T8" i="29"/>
  <c r="O8" i="29"/>
  <c r="K8" i="29"/>
  <c r="T240" i="29" l="1"/>
  <c r="T249" i="29"/>
  <c r="T397" i="29"/>
  <c r="T389" i="29"/>
  <c r="T236" i="29"/>
  <c r="T235" i="29"/>
  <c r="T218" i="29"/>
  <c r="T49" i="29"/>
  <c r="T52" i="29"/>
  <c r="H5" i="23"/>
  <c r="O10" i="7"/>
  <c r="T210" i="29"/>
  <c r="O9" i="7"/>
  <c r="O11" i="7"/>
  <c r="I7" i="19"/>
  <c r="K7" i="19" s="1"/>
  <c r="T258" i="29"/>
  <c r="T216" i="29"/>
  <c r="T372" i="29"/>
  <c r="T365" i="29"/>
  <c r="T72" i="29"/>
  <c r="G424" i="29"/>
  <c r="T107" i="29"/>
  <c r="T137" i="29"/>
  <c r="T166" i="29"/>
  <c r="T293" i="29"/>
  <c r="T61" i="29"/>
  <c r="T116" i="29"/>
  <c r="T209" i="29"/>
  <c r="T352" i="29"/>
  <c r="T409" i="29"/>
  <c r="T342" i="29"/>
  <c r="T423" i="29"/>
  <c r="T359" i="29"/>
  <c r="T314" i="29"/>
  <c r="T304" i="29"/>
  <c r="O290" i="29"/>
  <c r="K290" i="29"/>
  <c r="O270" i="29"/>
  <c r="O251" i="29"/>
  <c r="K251" i="29"/>
  <c r="T186" i="29"/>
  <c r="O179" i="29"/>
  <c r="K179" i="29"/>
  <c r="T153" i="29"/>
  <c r="O130" i="29"/>
  <c r="T99" i="29"/>
  <c r="T100" i="29"/>
  <c r="K105" i="29"/>
  <c r="T17" i="29"/>
  <c r="K270" i="29"/>
  <c r="K130" i="29"/>
  <c r="T29" i="29"/>
  <c r="O54" i="29"/>
  <c r="K54" i="29"/>
  <c r="K90" i="29"/>
  <c r="O90" i="29"/>
  <c r="O118" i="29"/>
  <c r="K118" i="29"/>
  <c r="O159" i="29"/>
  <c r="K159" i="29" s="1"/>
  <c r="T159" i="29" s="1"/>
  <c r="C424" i="29"/>
  <c r="O212" i="29"/>
  <c r="K212" i="29"/>
  <c r="H7" i="23"/>
  <c r="F7" i="23"/>
  <c r="D7" i="23"/>
  <c r="B7" i="23"/>
  <c r="G3" i="23"/>
  <c r="B3" i="23"/>
  <c r="B2" i="23"/>
  <c r="I15" i="22"/>
  <c r="F15" i="22"/>
  <c r="D15" i="22"/>
  <c r="B15" i="22"/>
  <c r="T179" i="29" l="1"/>
  <c r="T270" i="29"/>
  <c r="T290" i="29"/>
  <c r="T251" i="29"/>
  <c r="T130" i="29"/>
  <c r="T118" i="29"/>
  <c r="T54" i="29"/>
  <c r="T90" i="29"/>
  <c r="T212" i="29"/>
  <c r="H13" i="22"/>
  <c r="K11" i="22" s="1"/>
  <c r="F3" i="22"/>
  <c r="B3" i="22"/>
  <c r="B2" i="22"/>
  <c r="I20" i="21"/>
  <c r="F20" i="21"/>
  <c r="D20" i="21"/>
  <c r="B20" i="21"/>
  <c r="G3" i="21"/>
  <c r="B3" i="21"/>
  <c r="B2" i="21"/>
  <c r="H10" i="20"/>
  <c r="F10" i="20"/>
  <c r="D10" i="20"/>
  <c r="B10" i="20"/>
  <c r="G8" i="20"/>
  <c r="E8" i="20"/>
  <c r="D8" i="20"/>
  <c r="C8" i="20"/>
  <c r="B8" i="20"/>
  <c r="H7" i="20"/>
  <c r="H6" i="20"/>
  <c r="F3" i="20"/>
  <c r="B3" i="20"/>
  <c r="B2" i="20"/>
  <c r="I11" i="19"/>
  <c r="F11" i="19"/>
  <c r="D11" i="19"/>
  <c r="B11" i="19"/>
  <c r="H10" i="19"/>
  <c r="G10" i="19"/>
  <c r="F10" i="19"/>
  <c r="E10" i="19"/>
  <c r="D10" i="19"/>
  <c r="C10" i="19"/>
  <c r="I9" i="19"/>
  <c r="K9" i="19" s="1"/>
  <c r="B4" i="19"/>
  <c r="B3" i="19"/>
  <c r="F1" i="19"/>
  <c r="I7" i="18"/>
  <c r="G7" i="18"/>
  <c r="E7" i="18"/>
  <c r="C7" i="18"/>
  <c r="F6" i="18"/>
  <c r="D6" i="18"/>
  <c r="B6" i="18"/>
  <c r="G3" i="18"/>
  <c r="B3" i="18"/>
  <c r="B2" i="18"/>
  <c r="I14" i="15"/>
  <c r="G14" i="15"/>
  <c r="E14" i="15"/>
  <c r="B14" i="15"/>
  <c r="H6" i="18" l="1"/>
  <c r="I10" i="19"/>
  <c r="H8" i="20"/>
  <c r="B10" i="19"/>
  <c r="H13" i="15"/>
  <c r="G13" i="15"/>
  <c r="F13" i="15"/>
  <c r="E13" i="15"/>
  <c r="D13" i="15"/>
  <c r="I11" i="15"/>
  <c r="K11" i="15" s="1"/>
  <c r="B13" i="15"/>
  <c r="H9" i="15"/>
  <c r="F9" i="15"/>
  <c r="E9" i="15"/>
  <c r="D9" i="15"/>
  <c r="I8" i="15"/>
  <c r="K8" i="15" s="1"/>
  <c r="B4" i="15"/>
  <c r="B3" i="15"/>
  <c r="G1" i="15"/>
  <c r="J64" i="16"/>
  <c r="H64" i="16"/>
  <c r="F64" i="16"/>
  <c r="C64" i="16"/>
  <c r="J63" i="16"/>
  <c r="I63" i="16"/>
  <c r="F63" i="16"/>
  <c r="L59" i="16" s="1"/>
  <c r="E63" i="16"/>
  <c r="L58" i="16" s="1"/>
  <c r="D63" i="16"/>
  <c r="L57" i="16" s="1"/>
  <c r="H62" i="16"/>
  <c r="G62" i="16"/>
  <c r="H61" i="16"/>
  <c r="G61" i="16"/>
  <c r="H60" i="16"/>
  <c r="G60" i="16"/>
  <c r="H59" i="16"/>
  <c r="G59" i="16"/>
  <c r="H58" i="16"/>
  <c r="G58" i="16"/>
  <c r="H57" i="16"/>
  <c r="G57" i="16"/>
  <c r="H55" i="16"/>
  <c r="B55" i="16"/>
  <c r="B54" i="16"/>
  <c r="J47" i="16"/>
  <c r="H47" i="16"/>
  <c r="F47" i="16"/>
  <c r="C47" i="16"/>
  <c r="J46" i="16"/>
  <c r="I46" i="16"/>
  <c r="F46" i="16"/>
  <c r="E46" i="16"/>
  <c r="D46" i="16"/>
  <c r="H45" i="16"/>
  <c r="G45" i="16"/>
  <c r="H44" i="16"/>
  <c r="G44" i="16"/>
  <c r="H43" i="16"/>
  <c r="G43" i="16"/>
  <c r="H42" i="16"/>
  <c r="G42" i="16"/>
  <c r="H41" i="16"/>
  <c r="G41" i="16"/>
  <c r="H40" i="16"/>
  <c r="H46" i="16" s="1"/>
  <c r="G40" i="16"/>
  <c r="H38" i="16"/>
  <c r="B38" i="16"/>
  <c r="B37" i="16"/>
  <c r="J30" i="16"/>
  <c r="H30" i="16"/>
  <c r="F30" i="16"/>
  <c r="C30" i="16"/>
  <c r="J29" i="16"/>
  <c r="I29" i="16"/>
  <c r="F29" i="16"/>
  <c r="E29" i="16"/>
  <c r="L24" i="16" s="1"/>
  <c r="D29" i="16"/>
  <c r="L23" i="16" s="1"/>
  <c r="H28" i="16"/>
  <c r="G28" i="16"/>
  <c r="H27" i="16"/>
  <c r="G27" i="16"/>
  <c r="H26" i="16"/>
  <c r="G26" i="16"/>
  <c r="H25" i="16"/>
  <c r="G25" i="16"/>
  <c r="H24" i="16"/>
  <c r="G24" i="16"/>
  <c r="H23" i="16"/>
  <c r="G23" i="16"/>
  <c r="H21" i="16"/>
  <c r="B21" i="16"/>
  <c r="B20" i="16"/>
  <c r="J13" i="16"/>
  <c r="H13" i="16"/>
  <c r="F13" i="16"/>
  <c r="C13" i="16"/>
  <c r="L8" i="16"/>
  <c r="L7" i="16"/>
  <c r="H11" i="16"/>
  <c r="G11" i="16"/>
  <c r="H10" i="16"/>
  <c r="G10" i="16"/>
  <c r="H9" i="16"/>
  <c r="G9" i="16"/>
  <c r="H8" i="16"/>
  <c r="G8" i="16"/>
  <c r="H7" i="16"/>
  <c r="G7" i="16"/>
  <c r="H6" i="16"/>
  <c r="H4" i="16"/>
  <c r="B4" i="16"/>
  <c r="B3" i="16"/>
  <c r="I14" i="14"/>
  <c r="G14" i="14"/>
  <c r="E14" i="14"/>
  <c r="C14" i="14"/>
  <c r="H13" i="14"/>
  <c r="G13" i="14"/>
  <c r="E13" i="14"/>
  <c r="D13" i="14"/>
  <c r="C13" i="14"/>
  <c r="B13" i="14"/>
  <c r="G3" i="14"/>
  <c r="B3" i="14"/>
  <c r="B2" i="14"/>
  <c r="L15" i="13"/>
  <c r="I15" i="13"/>
  <c r="F15" i="13"/>
  <c r="C15" i="13"/>
  <c r="B14" i="13"/>
  <c r="D13" i="13"/>
  <c r="D12" i="13"/>
  <c r="D11" i="13"/>
  <c r="D10" i="13"/>
  <c r="D9" i="13"/>
  <c r="D8" i="13"/>
  <c r="D7" i="13"/>
  <c r="D6" i="13"/>
  <c r="H3" i="13"/>
  <c r="C3" i="13"/>
  <c r="C2" i="13"/>
  <c r="L82" i="28"/>
  <c r="I82" i="28"/>
  <c r="F82" i="28"/>
  <c r="C82" i="28"/>
  <c r="H71" i="28"/>
  <c r="C71" i="28"/>
  <c r="C70" i="28"/>
  <c r="L65" i="28"/>
  <c r="I65" i="28"/>
  <c r="F65" i="28"/>
  <c r="C65" i="28"/>
  <c r="G63" i="16" l="1"/>
  <c r="H12" i="16"/>
  <c r="G12" i="16"/>
  <c r="N6" i="13"/>
  <c r="N24" i="13"/>
  <c r="D14" i="13"/>
  <c r="N26" i="13" s="1"/>
  <c r="I13" i="15"/>
  <c r="G29" i="16"/>
  <c r="H29" i="16"/>
  <c r="H63" i="16"/>
  <c r="G46" i="16"/>
  <c r="B9" i="15"/>
  <c r="I12" i="15"/>
  <c r="K12" i="15" s="1"/>
  <c r="H54" i="28"/>
  <c r="C54" i="28"/>
  <c r="C53" i="28"/>
  <c r="L48" i="28"/>
  <c r="I48" i="28"/>
  <c r="F48" i="28"/>
  <c r="C48" i="28"/>
  <c r="H37" i="28"/>
  <c r="C37" i="28"/>
  <c r="C36" i="28"/>
  <c r="L31" i="28"/>
  <c r="I31" i="28"/>
  <c r="F31" i="28"/>
  <c r="C31" i="28"/>
  <c r="H20" i="28"/>
  <c r="C20" i="28"/>
  <c r="C19" i="28"/>
  <c r="L14" i="28"/>
  <c r="I14" i="28"/>
  <c r="F14" i="28"/>
  <c r="C14" i="28"/>
  <c r="H3" i="28"/>
  <c r="C3" i="28"/>
  <c r="C2" i="28"/>
  <c r="L95" i="27"/>
  <c r="I95" i="27"/>
  <c r="F95" i="27"/>
  <c r="C95" i="27"/>
  <c r="H83" i="27"/>
  <c r="C83" i="27"/>
  <c r="C82" i="27"/>
  <c r="L77" i="27"/>
  <c r="I77" i="27"/>
  <c r="F77" i="27"/>
  <c r="C77" i="27"/>
  <c r="H65" i="27"/>
  <c r="C65" i="27"/>
  <c r="C64" i="27"/>
  <c r="L59" i="27"/>
  <c r="I59" i="27"/>
  <c r="F59" i="27"/>
  <c r="C59" i="27"/>
  <c r="H47" i="27"/>
  <c r="C47" i="27"/>
  <c r="C46" i="27"/>
  <c r="L41" i="27"/>
  <c r="I41" i="27"/>
  <c r="F41" i="27"/>
  <c r="C41" i="27"/>
  <c r="H25" i="27"/>
  <c r="C25" i="27"/>
  <c r="C24" i="27"/>
  <c r="L19" i="27"/>
  <c r="I19" i="27"/>
  <c r="F19" i="27"/>
  <c r="C19" i="27"/>
  <c r="N6" i="28"/>
  <c r="D14" i="27"/>
  <c r="C14" i="27"/>
  <c r="D13" i="27"/>
  <c r="C13" i="27"/>
  <c r="D12" i="27"/>
  <c r="C12" i="27"/>
  <c r="D11" i="27"/>
  <c r="C11" i="27"/>
  <c r="C10" i="27"/>
  <c r="D9" i="27"/>
  <c r="C9" i="27"/>
  <c r="D8" i="27"/>
  <c r="C8" i="27"/>
  <c r="D6" i="27"/>
  <c r="C6" i="27"/>
  <c r="H3" i="27"/>
  <c r="C3" i="27"/>
  <c r="C2" i="27"/>
  <c r="L14" i="6"/>
  <c r="I14" i="6"/>
  <c r="F14" i="6"/>
  <c r="C14" i="6"/>
  <c r="E13" i="6"/>
  <c r="C13" i="6"/>
  <c r="D12" i="6"/>
  <c r="D11" i="6"/>
  <c r="D10" i="6"/>
  <c r="D9" i="6"/>
  <c r="D8" i="6"/>
  <c r="D7" i="6"/>
  <c r="D6" i="6"/>
  <c r="H3" i="6"/>
  <c r="C3" i="6"/>
  <c r="C2" i="6"/>
  <c r="L21" i="8"/>
  <c r="I21" i="8"/>
  <c r="F21" i="8"/>
  <c r="C21" i="8"/>
  <c r="L20" i="8"/>
  <c r="N12" i="6" s="1"/>
  <c r="K20" i="8"/>
  <c r="J20" i="8"/>
  <c r="I20" i="8"/>
  <c r="H20" i="8"/>
  <c r="G20" i="8"/>
  <c r="F20" i="8"/>
  <c r="N9" i="6" s="1"/>
  <c r="E20" i="8"/>
  <c r="N8" i="8" s="1"/>
  <c r="C20" i="8"/>
  <c r="D10" i="8"/>
  <c r="A10" i="8"/>
  <c r="D9" i="8"/>
  <c r="A9" i="8"/>
  <c r="D8" i="8"/>
  <c r="A8" i="8"/>
  <c r="D7" i="8"/>
  <c r="A7" i="8"/>
  <c r="D6" i="8"/>
  <c r="A6" i="8"/>
  <c r="H3" i="8"/>
  <c r="C3" i="8"/>
  <c r="C2" i="8"/>
  <c r="L14" i="10"/>
  <c r="I14" i="10"/>
  <c r="F14" i="10"/>
  <c r="C14" i="10"/>
  <c r="K13" i="10"/>
  <c r="J13" i="10"/>
  <c r="I13" i="10"/>
  <c r="H13" i="10"/>
  <c r="G13" i="10"/>
  <c r="F13" i="10"/>
  <c r="E13" i="10"/>
  <c r="D13" i="10"/>
  <c r="C13" i="10"/>
  <c r="B13" i="10"/>
  <c r="L12" i="10"/>
  <c r="C12" i="34" s="1"/>
  <c r="L11" i="10"/>
  <c r="C11" i="34" s="1"/>
  <c r="L10" i="10"/>
  <c r="C10" i="34" s="1"/>
  <c r="L9" i="10"/>
  <c r="C9" i="34" s="1"/>
  <c r="L8" i="10"/>
  <c r="C8" i="34" s="1"/>
  <c r="L7" i="10"/>
  <c r="C7" i="34" s="1"/>
  <c r="L6" i="10"/>
  <c r="C6" i="34" s="1"/>
  <c r="G3" i="10"/>
  <c r="C3" i="10"/>
  <c r="C2" i="10"/>
  <c r="L21" i="9"/>
  <c r="I21" i="9"/>
  <c r="F21" i="9"/>
  <c r="C21" i="9"/>
  <c r="K20" i="9"/>
  <c r="J20" i="9"/>
  <c r="I20" i="9"/>
  <c r="H20" i="9"/>
  <c r="G20" i="9"/>
  <c r="F20" i="9"/>
  <c r="E20" i="9"/>
  <c r="D20" i="9"/>
  <c r="A5" i="35" s="1"/>
  <c r="B20" i="9"/>
  <c r="L11" i="9"/>
  <c r="L10" i="9"/>
  <c r="C10" i="33" s="1"/>
  <c r="L9" i="9"/>
  <c r="C9" i="33" s="1"/>
  <c r="L8" i="9"/>
  <c r="C8" i="33" s="1"/>
  <c r="L7" i="9"/>
  <c r="C7" i="33" s="1"/>
  <c r="L6" i="9"/>
  <c r="G3" i="9"/>
  <c r="C3" i="9"/>
  <c r="C2" i="9"/>
  <c r="L19" i="7"/>
  <c r="H19" i="7"/>
  <c r="F19" i="7"/>
  <c r="C19" i="7"/>
  <c r="B11" i="8" l="1"/>
  <c r="C11" i="33"/>
  <c r="C20" i="33" s="1"/>
  <c r="K6" i="34" s="1"/>
  <c r="N9" i="8"/>
  <c r="C18" i="27"/>
  <c r="D7" i="7" s="1"/>
  <c r="D17" i="7" s="1"/>
  <c r="C13" i="34"/>
  <c r="B6" i="8"/>
  <c r="C6" i="33"/>
  <c r="B8" i="8"/>
  <c r="B10" i="8"/>
  <c r="B9" i="8"/>
  <c r="B7" i="8"/>
  <c r="N11" i="8"/>
  <c r="B12" i="6"/>
  <c r="B11" i="6"/>
  <c r="B10" i="6"/>
  <c r="B9" i="6"/>
  <c r="B8" i="6"/>
  <c r="B7" i="6"/>
  <c r="B6" i="6"/>
  <c r="C13" i="22"/>
  <c r="D18" i="21"/>
  <c r="K7" i="22" s="1"/>
  <c r="C18" i="21"/>
  <c r="D13" i="6"/>
  <c r="N6" i="10"/>
  <c r="C7" i="7"/>
  <c r="N7" i="6"/>
  <c r="N6" i="8"/>
  <c r="N10" i="6"/>
  <c r="N10" i="8"/>
  <c r="D20" i="8"/>
  <c r="N7" i="8" s="1"/>
  <c r="N11" i="6"/>
  <c r="L13" i="10"/>
  <c r="L20" i="9"/>
  <c r="D5" i="35" s="1"/>
  <c r="G5" i="35" s="1"/>
  <c r="B13" i="6" l="1"/>
  <c r="B20" i="8"/>
  <c r="K6" i="22"/>
  <c r="N8" i="6"/>
  <c r="G5" i="23"/>
  <c r="N6" i="9"/>
  <c r="N7" i="10"/>
  <c r="C17" i="7"/>
  <c r="O7" i="7" s="1"/>
  <c r="M6" i="7"/>
  <c r="M18" i="7" s="1"/>
  <c r="L6" i="7"/>
  <c r="K6" i="7"/>
  <c r="K18" i="7" s="1"/>
  <c r="J6" i="7"/>
  <c r="I6" i="7"/>
  <c r="H6" i="7"/>
  <c r="G6" i="7"/>
  <c r="F6" i="7"/>
  <c r="E6" i="7"/>
  <c r="D6" i="7"/>
  <c r="C6" i="7"/>
  <c r="G3" i="7"/>
  <c r="C3" i="7"/>
  <c r="C2" i="7"/>
  <c r="D18" i="7" l="1"/>
  <c r="C18" i="7"/>
  <c r="J18" i="7"/>
  <c r="L18" i="7"/>
  <c r="I18" i="7"/>
  <c r="F18" i="7" l="1"/>
  <c r="O309" i="29"/>
  <c r="K309" i="29"/>
  <c r="O301" i="29"/>
  <c r="K301" i="29"/>
  <c r="O238" i="29"/>
  <c r="K238" i="29"/>
  <c r="O105" i="29"/>
  <c r="T105" i="29" s="1"/>
  <c r="T309" i="29" l="1"/>
  <c r="T301" i="29"/>
  <c r="T238" i="29"/>
  <c r="K424" i="29"/>
  <c r="O424" i="29"/>
  <c r="T424" i="29" l="1"/>
  <c r="I7" i="15"/>
  <c r="K7" i="15" s="1"/>
  <c r="G9" i="15"/>
  <c r="I9" i="15" s="1"/>
  <c r="G18" i="7"/>
  <c r="D10" i="27"/>
  <c r="D18" i="27" s="1"/>
  <c r="H7" i="7"/>
  <c r="H17" i="7" s="1"/>
  <c r="H18" i="7" s="1"/>
  <c r="N7" i="28" l="1"/>
  <c r="E7" i="7"/>
  <c r="E17" i="7" s="1"/>
  <c r="E18" i="7" l="1"/>
  <c r="O8" i="7"/>
</calcChain>
</file>

<file path=xl/comments1.xml><?xml version="1.0" encoding="utf-8"?>
<comments xmlns="http://schemas.openxmlformats.org/spreadsheetml/2006/main">
  <authors>
    <author>ParsNet</author>
  </authors>
  <commentList>
    <comment ref="C7" authorId="0">
      <text>
        <r>
          <rPr>
            <sz val="11"/>
            <color indexed="81"/>
            <rFont val="B Titr"/>
            <charset val="178"/>
          </rPr>
          <t xml:space="preserve">نام </t>
        </r>
        <r>
          <rPr>
            <b/>
            <sz val="11"/>
            <color indexed="81"/>
            <rFont val="B Titr"/>
            <charset val="178"/>
          </rPr>
          <t>دستگاه</t>
        </r>
        <r>
          <rPr>
            <sz val="11"/>
            <color indexed="81"/>
            <rFont val="B Titr"/>
            <charset val="178"/>
          </rPr>
          <t xml:space="preserve"> اجرایی را وارد کنید</t>
        </r>
      </text>
    </comment>
    <comment ref="C8" authorId="0">
      <text>
        <r>
          <rPr>
            <sz val="11"/>
            <color indexed="81"/>
            <rFont val="B Titr"/>
            <charset val="178"/>
          </rPr>
          <t>ردیف دستگاه اجرایی را وارد کنید</t>
        </r>
      </text>
    </comment>
    <comment ref="C9" authorId="0">
      <text>
        <r>
          <rPr>
            <b/>
            <sz val="11"/>
            <color indexed="81"/>
            <rFont val="B Titr"/>
            <charset val="178"/>
          </rPr>
          <t>سال مالی مورد تظر را وارد کنید</t>
        </r>
      </text>
    </comment>
  </commentList>
</comments>
</file>

<file path=xl/sharedStrings.xml><?xml version="1.0" encoding="utf-8"?>
<sst xmlns="http://schemas.openxmlformats.org/spreadsheetml/2006/main" count="1710" uniqueCount="587">
  <si>
    <t xml:space="preserve">       عنوان دستگاه اجرایی : </t>
  </si>
  <si>
    <t xml:space="preserve">       ردیف دستگاه اجرایی :</t>
  </si>
  <si>
    <t>علی الحساب</t>
  </si>
  <si>
    <t>انتقالی</t>
  </si>
  <si>
    <t>مصوب</t>
  </si>
  <si>
    <t>ابلاغی از</t>
  </si>
  <si>
    <t>جمع ابلاغی</t>
  </si>
  <si>
    <t>جمع</t>
  </si>
  <si>
    <t>رییس اداره دفترداری وتنظیم حسابها:</t>
  </si>
  <si>
    <t>ذیحساب:</t>
  </si>
  <si>
    <t>رییس دستگاه اجرایی:</t>
  </si>
  <si>
    <t xml:space="preserve"> توضیحات :</t>
  </si>
  <si>
    <t>شماره برنامه</t>
  </si>
  <si>
    <t>افزایش از محل ردیف های متفرقه</t>
  </si>
  <si>
    <t xml:space="preserve">       سایر اصلاحات</t>
  </si>
  <si>
    <t>حوالجات</t>
  </si>
  <si>
    <t>اعتبار اصلاحی</t>
  </si>
  <si>
    <t>افزایش</t>
  </si>
  <si>
    <t>کاهش</t>
  </si>
  <si>
    <t>این قسمت توسط اداره کل تمرکز و تلفیق حسابها وروشهای حسابداری /اداره تمرکز و تلفیق استان تکمیل می شود.</t>
  </si>
  <si>
    <t>اعتبار مصوب بودجه</t>
  </si>
  <si>
    <t xml:space="preserve">           رییس اداره اعتبارات:</t>
  </si>
  <si>
    <t xml:space="preserve">        صورت خلاصه نماینده  اعتبارات هزینه بر حسب برنامه</t>
  </si>
  <si>
    <t>شماره طبقه بندی</t>
  </si>
  <si>
    <t>فصل 1</t>
  </si>
  <si>
    <t>فصل 2</t>
  </si>
  <si>
    <t>فصل 4</t>
  </si>
  <si>
    <t xml:space="preserve">فصل 5 </t>
  </si>
  <si>
    <t>فصل 6</t>
  </si>
  <si>
    <t>فصل 7</t>
  </si>
  <si>
    <t xml:space="preserve">        صورت خلاصه نماینده   عملکرد اعتبارات هزینه بر حسب برنامه</t>
  </si>
  <si>
    <t xml:space="preserve">ابلاغ دهنده : </t>
  </si>
  <si>
    <t>تخصیص اعتبار</t>
  </si>
  <si>
    <t>کنترل تخصیص</t>
  </si>
  <si>
    <t>هزینه</t>
  </si>
  <si>
    <t>پیش پرداخت</t>
  </si>
  <si>
    <t>واریزی</t>
  </si>
  <si>
    <t>فرم4ه</t>
  </si>
  <si>
    <t xml:space="preserve">                                                                                                                                   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                                                                                                                            </t>
  </si>
  <si>
    <t>فرم5ه</t>
  </si>
  <si>
    <t xml:space="preserve">        صورت خلاصه نماینده   عملکرد اعتبارات هزینه بر حسب  فصول هزینه</t>
  </si>
  <si>
    <t xml:space="preserve">فصل  1 </t>
  </si>
  <si>
    <t>فصل  2</t>
  </si>
  <si>
    <t>فصل  3</t>
  </si>
  <si>
    <t>فصل  4</t>
  </si>
  <si>
    <t>فصل  5</t>
  </si>
  <si>
    <t xml:space="preserve">فصل  6 </t>
  </si>
  <si>
    <t>فصل  7</t>
  </si>
  <si>
    <t xml:space="preserve">                     سال      </t>
  </si>
  <si>
    <t>فرم1ه</t>
  </si>
  <si>
    <t>فصل 3</t>
  </si>
  <si>
    <t>فرم 3ه</t>
  </si>
  <si>
    <t xml:space="preserve">     رییس اداره اعتبارات</t>
  </si>
  <si>
    <t xml:space="preserve">                     سال  </t>
  </si>
  <si>
    <t xml:space="preserve">                     سال   </t>
  </si>
  <si>
    <t xml:space="preserve">         گزارش عملکرد اعتبارات تملک دارایی  های مالی(تعهدات اعتبارات هزینه)</t>
  </si>
  <si>
    <t>شماره  طبقه بندی</t>
  </si>
  <si>
    <t>جمع کل</t>
  </si>
  <si>
    <t>تملک  دارایی های مالی</t>
  </si>
  <si>
    <t>فرم7ه</t>
  </si>
  <si>
    <t>عنوان</t>
  </si>
  <si>
    <t>واریزی به خزانه</t>
  </si>
  <si>
    <t>کنترل . . . سالجاری</t>
  </si>
  <si>
    <t>کنترل . . .  سنوات قبل</t>
  </si>
  <si>
    <t>فرم8ه</t>
  </si>
  <si>
    <t xml:space="preserve">بر حسب طبقه بندی بودجه  سال   </t>
  </si>
  <si>
    <t xml:space="preserve">               وضعيت پرداختهاي غير قطعي سنوات قبل اعتبارات هزينه در سال  </t>
  </si>
  <si>
    <t>دریافتی از خزانه در سنوات قبل</t>
  </si>
  <si>
    <t>اسناد هزینه واخواهی شده</t>
  </si>
  <si>
    <t>کسری ابواب جمعی</t>
  </si>
  <si>
    <t>انتقال به مازاد</t>
  </si>
  <si>
    <t>انتقال به سال بعد</t>
  </si>
  <si>
    <t>اعتبارات هزینه</t>
  </si>
  <si>
    <t>اعتبارات اختصاصی</t>
  </si>
  <si>
    <t>فرم9ه</t>
  </si>
  <si>
    <t>وضعیت پیش پرداخت سنواتی مابه التفاوت نرخ ارز سال قبل</t>
  </si>
  <si>
    <t>عنوان حساب</t>
  </si>
  <si>
    <t>دریافتی از خزانه در سنوات قبل بابت مابه التفاوت نرخ ارز سال قبل</t>
  </si>
  <si>
    <t>پرداختی مابه التفاوت نرخ ارز</t>
  </si>
  <si>
    <t>مانده نقل به سال بعد</t>
  </si>
  <si>
    <t>فرم10ه</t>
  </si>
  <si>
    <t>وضعیت وجوه مصرف نشده سنوات قبل اعتبارات هزینه درسال</t>
  </si>
  <si>
    <t>وجوه انتقالی مازاد</t>
  </si>
  <si>
    <t>کسری ابوابجمعی</t>
  </si>
  <si>
    <t xml:space="preserve">               وضعيت اسناد هزینه  واخواهی شده وکسری ابوابجمعی سال های قبل اعتبارات هزينه  </t>
  </si>
  <si>
    <t>اسناد هزینه  واخواهی شده</t>
  </si>
  <si>
    <t>واریز نقدی</t>
  </si>
  <si>
    <t>فرم12ه</t>
  </si>
  <si>
    <t>کسری ابوابجمعی  برداشتنی</t>
  </si>
  <si>
    <t xml:space="preserve"> خلاصه عملکرد اعتبارات خارج از شمول  هزینه بر حسب برنامه وردیف متفرقه</t>
  </si>
  <si>
    <t>طبقه بندی</t>
  </si>
  <si>
    <t>شرح</t>
  </si>
  <si>
    <t>اعتبار خارج از شمول</t>
  </si>
  <si>
    <t xml:space="preserve">جمع کل </t>
  </si>
  <si>
    <t xml:space="preserve">        در ستون توضيحات مواد ويا مقررات قانوني محدود كننده و علت استفاده از اعتبار خارج از شمول نوشته شود.</t>
  </si>
  <si>
    <t>رییس اداره اعتبارات:</t>
  </si>
  <si>
    <t>جمع عملکرد</t>
  </si>
  <si>
    <t>توضیحات</t>
  </si>
  <si>
    <t>فرم13ه</t>
  </si>
  <si>
    <t xml:space="preserve">         خلاصه عملکرد اعتبارات خارج از شمول  هزینه بر حسب  فصول هزینه</t>
  </si>
  <si>
    <t>شماره برنامه / ردیف :</t>
  </si>
  <si>
    <t>فرم14ه</t>
  </si>
  <si>
    <t>فصل 5</t>
  </si>
  <si>
    <t xml:space="preserve">            جبران خدمت کارکنان</t>
  </si>
  <si>
    <t xml:space="preserve">          استفاده از کالاها وخدمات</t>
  </si>
  <si>
    <t xml:space="preserve">           هزینه های اموال ودارایی</t>
  </si>
  <si>
    <t xml:space="preserve">           یارانه</t>
  </si>
  <si>
    <t xml:space="preserve">            کمکهای بلاعوض</t>
  </si>
  <si>
    <t xml:space="preserve">          رفاه اجتماعی</t>
  </si>
  <si>
    <t xml:space="preserve">         سایر هزینه ها</t>
  </si>
  <si>
    <t>گزارش نماينده عملكرد اعتبارات هزينه بر حسب اعتبارات حقوق و مزاياي مستمر و ساير</t>
  </si>
  <si>
    <t xml:space="preserve">اعتبار اصلاحي حقوق و مزاياي مستمر </t>
  </si>
  <si>
    <t>عملکرد(مجموع پرداخت ها)حقوق ومزایای مستمر</t>
  </si>
  <si>
    <t xml:space="preserve">          عنوان دستگاه اجرایی : </t>
  </si>
  <si>
    <t>اعتبار اصلاحی سایر هزینه ها</t>
  </si>
  <si>
    <t>عملکرد (مجموع پرداخت ها)سایر هزینه ها</t>
  </si>
  <si>
    <t>جمع  اعتبار اصلاحی اعتبارات هزینه</t>
  </si>
  <si>
    <t>جمع  عملکرد (مجموع پرداخت ها)اعتبارات هزینه</t>
  </si>
  <si>
    <t>فرم15ه</t>
  </si>
  <si>
    <t>رديف دستگاه :</t>
  </si>
  <si>
    <t xml:space="preserve">کد حساب </t>
  </si>
  <si>
    <t>گردش بدهکار تا پايان دوره متمم</t>
  </si>
  <si>
    <t>گردش بستانکار تا پايان دوره متمم</t>
  </si>
  <si>
    <t>مانده بستانکار تا پايان دوره متمم</t>
  </si>
  <si>
    <t>دستگاه اجرايي</t>
  </si>
  <si>
    <t xml:space="preserve">اعتبار مصوب </t>
  </si>
  <si>
    <t>تخصيص اعتبار</t>
  </si>
  <si>
    <t xml:space="preserve">جمع </t>
  </si>
  <si>
    <t>درخواست وجه</t>
  </si>
  <si>
    <t>درخواست وجه حقوق ومزايای مستمر ماهيانه</t>
  </si>
  <si>
    <t xml:space="preserve">تنخواه گردان حسابداري </t>
  </si>
  <si>
    <t>تنخواه گردان موقت حسابداري</t>
  </si>
  <si>
    <t>بانک پرداخت اعتبارات  هزينه</t>
  </si>
  <si>
    <t>تامين اعتبار</t>
  </si>
  <si>
    <t>ذخيره تامين اعتبار</t>
  </si>
  <si>
    <t>تنخواه گردان پرداخت</t>
  </si>
  <si>
    <t>پيش پرداخت سال جاري</t>
  </si>
  <si>
    <t>علي الحساب سال جاري</t>
  </si>
  <si>
    <t>اسناد وصولي از عامل ذيحساب</t>
  </si>
  <si>
    <t>هزينه</t>
  </si>
  <si>
    <t>هزينه حقوق و مزايای مستمر کار کنان</t>
  </si>
  <si>
    <t>هزينه بازنشستگی بيمه تامين اجتماعی بيمه خدمات درمانی سهم دولت</t>
  </si>
  <si>
    <t>تملک داراييهاي مالي</t>
  </si>
  <si>
    <t>حساب موقت بانکي</t>
  </si>
  <si>
    <t>حساب موقت بن غير نقدي</t>
  </si>
  <si>
    <t>کنترل تخصيص اعتبار</t>
  </si>
  <si>
    <t xml:space="preserve">کسور وصولي </t>
  </si>
  <si>
    <t>ماليات وصولی</t>
  </si>
  <si>
    <t>بيمه تامين اجتماعی وصولی سهم کارمند و سهم دولت</t>
  </si>
  <si>
    <t>بيمه خدمات درمانی وصولی سهم کارمند و سهم دولت</t>
  </si>
  <si>
    <t>ساير کسور وصولی کارکنان</t>
  </si>
  <si>
    <t>کسور ارسالي</t>
  </si>
  <si>
    <t>ماليات ارسالی</t>
  </si>
  <si>
    <t>بيمه تامين اجتماعی ارسالی سهم کارمند و سهم دولت</t>
  </si>
  <si>
    <t>بيمه خدمات درمانی ارسالی سهم کارمند و سهم دولت</t>
  </si>
  <si>
    <t>ساير کسور ارسالی کارکنان</t>
  </si>
  <si>
    <t>کسور بازنشستگي وصولی</t>
  </si>
  <si>
    <t>کسور بازنشستگي ارسالي</t>
  </si>
  <si>
    <t>حق بازنشستگی وصولی سهم کارمند ودولت</t>
  </si>
  <si>
    <t>حق بازنشستگی ارسالی سهم کارمند ودولت</t>
  </si>
  <si>
    <t>حساب اسناد هزينه واخواهي شده</t>
  </si>
  <si>
    <t>حساب کسري ابواب جمعي</t>
  </si>
  <si>
    <t>حساب کسري ابواب جمعي برداشتي</t>
  </si>
  <si>
    <t>واگذاري داراييهاي مالي واحدهاي دستگاه</t>
  </si>
  <si>
    <t>واگذاري داراييهاي مالي پيش بيني شده</t>
  </si>
  <si>
    <t>واگذاري داراييهاي مالي تحقق يافته</t>
  </si>
  <si>
    <t>واگذاري داراييهاي مالي ارسالي</t>
  </si>
  <si>
    <t>واگذاري داراييهاي مالي وصولي</t>
  </si>
  <si>
    <t>بانک پرداخت اعتبارات  ابلاغی</t>
  </si>
  <si>
    <t>اسناد وصولي از عامل ذيحساب ابلاغی</t>
  </si>
  <si>
    <t>حساب اسناد هزينه واخواهي شده ابلاغی</t>
  </si>
  <si>
    <t>پيش پرداخت سال جاري ابلاغی</t>
  </si>
  <si>
    <t>علي الحساب سال جاري ابلاغی</t>
  </si>
  <si>
    <t>کنترل تخصيص اعتبارات ابلاغی</t>
  </si>
  <si>
    <t>پيش پرداخت سنواتي</t>
  </si>
  <si>
    <t>علي الحساب سنواتي</t>
  </si>
  <si>
    <t>هزينه ازمحل پيش پرداخت سنواتي</t>
  </si>
  <si>
    <t>هزينه از محل علي الحساب سنواتي</t>
  </si>
  <si>
    <t>حساب اسناد هزينه واخواهي شده سنواتی</t>
  </si>
  <si>
    <t>حساب کسري ابواب جمعي سنواتی</t>
  </si>
  <si>
    <t>دريافتي ازخزانه درسنوات قبل</t>
  </si>
  <si>
    <t>تامين اعتبار سنواتي</t>
  </si>
  <si>
    <t>ذخيره تامين اعتبار سنواتي</t>
  </si>
  <si>
    <t>دريافتي ازخزانه بابت مابه التفاوت نرخ ارزسال قبل</t>
  </si>
  <si>
    <t>پيش پرداخت بابت مابه التفاوت نرخ ارز درسال قبل</t>
  </si>
  <si>
    <t>پرداختي بابت مابه التفاوت نرخ ارزدرسال قبل</t>
  </si>
  <si>
    <t>وجوه مصرف نشده سنوات قبل</t>
  </si>
  <si>
    <t>بانک پرداخت وجوه سنوات قبل</t>
  </si>
  <si>
    <t>هزينه از محل وجوه سنوات قبل</t>
  </si>
  <si>
    <t>پيش پرداخت ازمحل وجوه سنوات قبل</t>
  </si>
  <si>
    <t>علي الحساب ازمحل وجوه سنوات قبل</t>
  </si>
  <si>
    <t>تنخواه گردان ازمحل وجوه سنوات قبل</t>
  </si>
  <si>
    <t xml:space="preserve"> کسري ابواب جمعي وجوه مصرف نشده</t>
  </si>
  <si>
    <t>تامين اعتبار وجوه مصرف نشده سنوات قبل</t>
  </si>
  <si>
    <t>ذخيره تامين اعتبار وجوه مصرف نشده سنوات قبل</t>
  </si>
  <si>
    <t xml:space="preserve">سپرده بلند مدت نزد بانک  </t>
  </si>
  <si>
    <t xml:space="preserve">طرف حساب سپرده بلند مدت نزد بانک </t>
  </si>
  <si>
    <t xml:space="preserve"> حساب تضمينات</t>
  </si>
  <si>
    <t>طرف حساب تضمينات</t>
  </si>
  <si>
    <t>حساب بدهي کارکنان</t>
  </si>
  <si>
    <t>طرف حساب بدهي کارکنان</t>
  </si>
  <si>
    <t>حساب اضافه پرداختي</t>
  </si>
  <si>
    <t>طرف حساب اضافه پرداختي</t>
  </si>
  <si>
    <t>حساب کنترل قراردادها</t>
  </si>
  <si>
    <t>طرف حساب کنترل قراردادها</t>
  </si>
  <si>
    <t>حساب درآمد واحد دستگاه</t>
  </si>
  <si>
    <t>حساب درآمدپيش بيني شده</t>
  </si>
  <si>
    <t>حساب درآمد تحقق يافته</t>
  </si>
  <si>
    <t>بانک تمرکز وجوه درآمد عمومي</t>
  </si>
  <si>
    <t>درآمد عمومي وصولي</t>
  </si>
  <si>
    <t>خزانه تمرکز وجوه درآمد عمومي</t>
  </si>
  <si>
    <t>درامد عمومي ارسالي</t>
  </si>
  <si>
    <t>حساب کنترل درآمد</t>
  </si>
  <si>
    <t>حساب اسناد دريافتني</t>
  </si>
  <si>
    <t>حساب اسناد درجريان وصول</t>
  </si>
  <si>
    <t>حساب اسناد نکول شده</t>
  </si>
  <si>
    <t>حساب اجرا ودعاوي حقوقي</t>
  </si>
  <si>
    <t>درآمد عمومي انتقالي</t>
  </si>
  <si>
    <t>وصولي استان با ساير دستگاهها</t>
  </si>
  <si>
    <t>وصولي واحد تابعه دراستان</t>
  </si>
  <si>
    <t>حساب مازاد درامد پيش بيني شده</t>
  </si>
  <si>
    <t>تنخواه گردان ردوجوه اضافه دريافتي</t>
  </si>
  <si>
    <t>بانک ردوجوه اضافه دريافتي</t>
  </si>
  <si>
    <t>وجوه اضافه دريافتي استردادي</t>
  </si>
  <si>
    <t>بانک تمرکزوجوه پيش دريافت حقوق گمرکي</t>
  </si>
  <si>
    <t>پيش دريافت حقوق گمرکي</t>
  </si>
  <si>
    <t>بانک تمرکز وجوه درآمدهاي گمرکي</t>
  </si>
  <si>
    <t>واگذاري داراييهاي سرمايه اي واحد دستگاه</t>
  </si>
  <si>
    <t>واگذاري داراييهاي سرمايه اي پيش بيني شده</t>
  </si>
  <si>
    <t>واگذاري داراييهاي سرمايه اي تحقق يافته</t>
  </si>
  <si>
    <t>واگذاري داراييهاي سرمايه اي وصولي</t>
  </si>
  <si>
    <t>واگذاري داراييهاي سرمايه اي ارسالي</t>
  </si>
  <si>
    <t xml:space="preserve">حساب کنترل واگذاري داراييهاي سرمايه اي </t>
  </si>
  <si>
    <t>واگذاري داراييهاي سرمايه اي انتقالي</t>
  </si>
  <si>
    <t>خزانه تمرکز وجوه واگذاري داراييهاي سرمايه اي</t>
  </si>
  <si>
    <t>دستگاه اجرايي اختصاصي</t>
  </si>
  <si>
    <t xml:space="preserve">اعتبار اختصاصی مصوب </t>
  </si>
  <si>
    <t>تنخواه گردان موقت حسابداري اختصاصی</t>
  </si>
  <si>
    <t>درخواست وجه اختصاصي</t>
  </si>
  <si>
    <t>دريافتي ازخزانه بابت درآمد اختصاصي</t>
  </si>
  <si>
    <t>بانك پرداخت اختصاصي</t>
  </si>
  <si>
    <t>تامين اعتباراختصاصي</t>
  </si>
  <si>
    <t>ذخيره تامين اعتبار اختصاصي</t>
  </si>
  <si>
    <t>تعهدات پرداختني اعتبارات اختصاصي</t>
  </si>
  <si>
    <t>طرف حساب تعهدات پرداختني اختصاصي</t>
  </si>
  <si>
    <t>هزينه ازمحل درآمد اختصاصي</t>
  </si>
  <si>
    <t>پيش پرداخت ازمحل درآمد اختصاصي</t>
  </si>
  <si>
    <t>علي الحساب از محل درآمد اختصاصي</t>
  </si>
  <si>
    <t>تنخواه گردان پرداخت از محل درآمد اختصاصي</t>
  </si>
  <si>
    <t>دريافتي از خزانه درسنوات قبل اختصاصي</t>
  </si>
  <si>
    <t>اسناد وصولي از عامل ذيحساب اختصاصي</t>
  </si>
  <si>
    <t>حساب كنترل قرارداداختصاصي</t>
  </si>
  <si>
    <t xml:space="preserve">طرف حساب كنترل قرارداداختصاصي </t>
  </si>
  <si>
    <t>تامين اعتبار اختصاصي سنواتي</t>
  </si>
  <si>
    <t>ذخيره تامين اعتبار اختصاصي سنواتي</t>
  </si>
  <si>
    <t>حساب كسري ابواب جمعي اختصاصي</t>
  </si>
  <si>
    <t>وجوه مصرف نشده سنوات قبل اختصاصي</t>
  </si>
  <si>
    <t>بانک پرداخت وجوه سنوات قبل اختصاصي</t>
  </si>
  <si>
    <t>هزينه از محل وجوه سنوات قبل اختصاصي</t>
  </si>
  <si>
    <t>پيش پرداخت ازمحل وجوه سنوات قبل اختصاصي</t>
  </si>
  <si>
    <t>علي الحساب ازمحل وجوه سنوات قبل اختصاصي</t>
  </si>
  <si>
    <t>تنخواه گردان ازمحل وجوه سنوات قبل اختصاصي</t>
  </si>
  <si>
    <t>حساب اسناد هزينه واخواهي شده سنواتی اختصاصي</t>
  </si>
  <si>
    <t>حساب كسري ابواب جمعي سنواتی اختصاصي</t>
  </si>
  <si>
    <t>تامین اعتبار وجوه مصرف نشده سنوات قبل اختصاصی</t>
  </si>
  <si>
    <t>ذخیره تامین اعتبار وجوه مصرف نشده سنوات قبل اختصاصی</t>
  </si>
  <si>
    <t>درآمد پيش بيني شده اختصاصي</t>
  </si>
  <si>
    <t>درامد تحقق يافته اختصاصي</t>
  </si>
  <si>
    <t>مازاد درامد پيش بيني شده اختصاصي</t>
  </si>
  <si>
    <t>بانك تمركز وجوه درآمد اختصاصي</t>
  </si>
  <si>
    <t>درآمد اختصاصي وصولي</t>
  </si>
  <si>
    <t>خزانه تمركزوجوه درآمد اختصاصي</t>
  </si>
  <si>
    <t>درآمد اختصاصي ارسالي</t>
  </si>
  <si>
    <t>درآمد اختصاصي انتقالي</t>
  </si>
  <si>
    <t>وصولي اختصاصي استانها با ساير دستگاهها</t>
  </si>
  <si>
    <t>وصولي اختصاصي واحدهاي تابعه در استان</t>
  </si>
  <si>
    <t>واگذاري داراييهاي سرمايه اي واحد دستگاه اختصاصي</t>
  </si>
  <si>
    <t>واگذاري داراييهاي سرمايه اي پيش بيني شده اختصاصی</t>
  </si>
  <si>
    <t>مازاد واگذاري داراييهاي سرمايه اي پيش بيني شده اختصاصي</t>
  </si>
  <si>
    <t>واگذاري داراييهاي سرمايه اي تحقق يافته اختصاصي</t>
  </si>
  <si>
    <t>بانک تمرکز وجوه واگذاري داراييهاي سرمايه اي اختصاصي</t>
  </si>
  <si>
    <t>خزانه  تمرکز وجوه واگذاري داراييهاي سرمايه اي اختصاصي</t>
  </si>
  <si>
    <t>واگذاري داراييهاي سرمايه اي وصولي اختصاصي</t>
  </si>
  <si>
    <t>بانک ها-دريافت وجوه سپرده</t>
  </si>
  <si>
    <t>سپرده هاي دريافتي</t>
  </si>
  <si>
    <t>خزانه تمرکز وجوه سپرده</t>
  </si>
  <si>
    <t>تنخواه گردان رد وجوه سپرده</t>
  </si>
  <si>
    <t>بانک رد وجوه سپرده</t>
  </si>
  <si>
    <t>تنخواه گردان رد سپرده عامل ذيحساب</t>
  </si>
  <si>
    <t>تنخواه گردان حسابداري بازنشستگان وموظفين</t>
  </si>
  <si>
    <t>دريافتي بابت بازنشستگان و موظفين</t>
  </si>
  <si>
    <t>بانک پرداخت حقوق بازنشستگان وموظفين</t>
  </si>
  <si>
    <t>پرداخت حقوق بازنشستگان وموظفين</t>
  </si>
  <si>
    <t>علي الحساب بازنشستگان وموظفين</t>
  </si>
  <si>
    <t>تنخواه گردان پرداخت بازنشستگان وموظفين</t>
  </si>
  <si>
    <t>بانك استرداد كسور بازنشستگي</t>
  </si>
  <si>
    <t>دريافتي بابت استرداد كسور بازنشستگي</t>
  </si>
  <si>
    <t xml:space="preserve">پرداختي بابت استرداد كسور بازنشستگي </t>
  </si>
  <si>
    <t xml:space="preserve">دريافتي بابت ساير منابع </t>
  </si>
  <si>
    <t>بانك پرداخت ساير منابع</t>
  </si>
  <si>
    <t>پرداخت ازمحل ساير منابع</t>
  </si>
  <si>
    <t>تنخواه گردان پرداخت از محل ساير منابع</t>
  </si>
  <si>
    <t>پيش پرداخت ازمحل ساير منابع</t>
  </si>
  <si>
    <t>علي الحساب از محل ساير منابع</t>
  </si>
  <si>
    <t>حساب اسناد ارسالي</t>
  </si>
  <si>
    <t>تامين اعتبار ساير منابع</t>
  </si>
  <si>
    <t>ذخيره تامين اعتبار سايرمنابع</t>
  </si>
  <si>
    <t>دريافتي بابت وجوه هدايای خاص</t>
  </si>
  <si>
    <t>بانک دريافت وپرداخت هدايای خاص</t>
  </si>
  <si>
    <t>حساب پرداختی هدايای خاص</t>
  </si>
  <si>
    <t>پيش پرداخت هداياي خاص</t>
  </si>
  <si>
    <t>علي الحساب هداياي خاص</t>
  </si>
  <si>
    <t>تنخواه گردان پرداخت هداياي خاص</t>
  </si>
  <si>
    <t>حوالجات وجوه هداياي خاص</t>
  </si>
  <si>
    <t>بانك پرداخت يارانه</t>
  </si>
  <si>
    <t>دريافتي بابت يارانه تعزيرات آردونان</t>
  </si>
  <si>
    <t>هزينه بابت يارانه تعزيرات آردونان</t>
  </si>
  <si>
    <t>پيش پرداخت  بابت يارانه تعزيرات آردونان</t>
  </si>
  <si>
    <t>علی الحساب  بابت يارانه تعزيرات آردونان</t>
  </si>
  <si>
    <t>تنخواه گردان بابت يارانه تعزيرات آردونان</t>
  </si>
  <si>
    <t>بانك دريافت خانه هاي سازماني</t>
  </si>
  <si>
    <t>درآمد خانه هاي سازماني</t>
  </si>
  <si>
    <t>خزانه تمركز درآمد خانه هاي سازماني</t>
  </si>
  <si>
    <t>بانك پرداخت خانه هاي سازماني</t>
  </si>
  <si>
    <t>تنخواه گردان پرداخت خانه هاي سازماني</t>
  </si>
  <si>
    <t>پيش پرداخت خانه هاي سازماني</t>
  </si>
  <si>
    <t>علي الحساب خانه هاي سازماني</t>
  </si>
  <si>
    <t>هزينه خانه هاي سازماني</t>
  </si>
  <si>
    <t>وجوه دريافتی نامشخص</t>
  </si>
  <si>
    <t>خزانه تمركز وجوه فاقد مشخصات</t>
  </si>
  <si>
    <t>چكهاي بين راهي</t>
  </si>
  <si>
    <t>خزانه تمركز وجوه چكهاي بين راهي</t>
  </si>
  <si>
    <t>خزانه تمركز وجوه اضافه واريزي</t>
  </si>
  <si>
    <t>اداره كل اوراق بهادار</t>
  </si>
  <si>
    <t>مخزن اوراق بهادار</t>
  </si>
  <si>
    <t>اوراق بهادار مصرفي</t>
  </si>
  <si>
    <t>تنخواه گردان اوراق بهادار</t>
  </si>
  <si>
    <t>بانک پرداخت تبصره 40</t>
  </si>
  <si>
    <t>دریافتی تبصره 40</t>
  </si>
  <si>
    <t>هزینه تبصره 40</t>
  </si>
  <si>
    <t>پیش پرداخت تبصره 40</t>
  </si>
  <si>
    <t>علی الحساب تبصره 40</t>
  </si>
  <si>
    <t>بانک دریافت وجوه درآمد(تبصره5)</t>
  </si>
  <si>
    <t>درآمدتعزیرات حکومتی بخش دولتی وغیردولتی(تبصره5)</t>
  </si>
  <si>
    <t>خزانه تمرکزوجوه درآمدتعزیرات حکومتی (تبصره5)</t>
  </si>
  <si>
    <t>خزانه درآمد وجوه (تبصره5)</t>
  </si>
  <si>
    <t xml:space="preserve"> دریافتی ازخزانه بابت وجوه (تبصره5)</t>
  </si>
  <si>
    <t>هزینه ازمحل وجوه (تبصره5)</t>
  </si>
  <si>
    <t>پیش پرداخت ازمحل وجوه (تبصره5)</t>
  </si>
  <si>
    <t>علی الحساب ازمحل وجوه (تبصره5)</t>
  </si>
  <si>
    <t>تنخواه گردان پرداخت ازمحل وجوه (تبصره5)</t>
  </si>
  <si>
    <t xml:space="preserve">دریافتی ازخزانه بابت ماده 22(قاچاق کالاوارز) </t>
  </si>
  <si>
    <t>هزینه ازمحل وجوه قاچاق کالا وارز</t>
  </si>
  <si>
    <t>پیش پرداخت وجوه قاچاق کالا وارز</t>
  </si>
  <si>
    <t>علی الحساب وجوه قاچاق کالا وارز</t>
  </si>
  <si>
    <t>تنخواه گردان پرداخت وجوه قاچاق کالا وارز</t>
  </si>
  <si>
    <t>دریافتی بابت وجوه صندوق الف</t>
  </si>
  <si>
    <t>بانک دریافت وپرداخت وجوه صندوق الف</t>
  </si>
  <si>
    <t>پرداختی بابت وجوه صندوق الف</t>
  </si>
  <si>
    <t>دریافتی بابت وجوه صندوق ب</t>
  </si>
  <si>
    <t>بانک دریافت وپرداخت وجوه صندوق ب</t>
  </si>
  <si>
    <t>پرداختی بابت وجوه صندوق ب</t>
  </si>
  <si>
    <t>بانک وجوه اداره شده نزدبانکهای عامل</t>
  </si>
  <si>
    <t xml:space="preserve">   اصل وام پرداختي </t>
  </si>
  <si>
    <t xml:space="preserve">   سود وام پرداختي </t>
  </si>
  <si>
    <t>بانکهای بازپرداخت اقساط وامها</t>
  </si>
  <si>
    <t>اقساط معوق وامهای پرداختی</t>
  </si>
  <si>
    <t>سودمعوق وامهای پرداختی</t>
  </si>
  <si>
    <t>حساب وجوه اداره شده</t>
  </si>
  <si>
    <t>درآمد سرمايه گذاری</t>
  </si>
  <si>
    <t>دارايي ثابت</t>
  </si>
  <si>
    <t>اموال دولت جمهوري اسلامي</t>
  </si>
  <si>
    <t>حساب اموال رسيده</t>
  </si>
  <si>
    <t>حساب اموال موجوددرانبار</t>
  </si>
  <si>
    <t>حساب اموال تحويلي به واحدها</t>
  </si>
  <si>
    <t xml:space="preserve">حساب اموال اماني </t>
  </si>
  <si>
    <t>حساب اموال اماني رسيده</t>
  </si>
  <si>
    <t>طرف حساب اموا ل اماني رسيده</t>
  </si>
  <si>
    <t>حساب اموال اسقاط</t>
  </si>
  <si>
    <t>حساب اموال حادثه ديده</t>
  </si>
  <si>
    <t>حساب اموال فرستاده</t>
  </si>
  <si>
    <t>حساب اموال دستگاه اجرائي</t>
  </si>
  <si>
    <t xml:space="preserve">   ردیف دستگاه اجرایی :</t>
  </si>
  <si>
    <t>پیش پرداخت  اعتبارات اسنادی</t>
  </si>
  <si>
    <t>پیش پرداخت اعتبار اسنادی</t>
  </si>
  <si>
    <t>کاهش وصولی نسبت به پیش بینی</t>
  </si>
  <si>
    <t>افزایش وصولی نسبت به پپش بینی</t>
  </si>
  <si>
    <t>پیش بینی ( مصوب طبق  قانون  )</t>
  </si>
  <si>
    <t>وصولی</t>
  </si>
  <si>
    <t xml:space="preserve">      صورتحساب منابع</t>
  </si>
  <si>
    <t>توجه : ستون انتقالی مورد استفاده دستگاههای اجرایی است که طبق قانون اجازی انتقال وجه به سال بعد را دارند .</t>
  </si>
  <si>
    <t xml:space="preserve"> 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</t>
  </si>
  <si>
    <t xml:space="preserve">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       </t>
  </si>
  <si>
    <t xml:space="preserve">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     </t>
  </si>
  <si>
    <t xml:space="preserve">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</t>
  </si>
  <si>
    <t xml:space="preserve">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</t>
  </si>
  <si>
    <t xml:space="preserve">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</t>
  </si>
  <si>
    <t xml:space="preserve">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</t>
  </si>
  <si>
    <t xml:space="preserve">                   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                       </t>
  </si>
  <si>
    <t xml:space="preserve">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                  </t>
  </si>
  <si>
    <t xml:space="preserve">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         </t>
  </si>
  <si>
    <t xml:space="preserve">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                  </t>
  </si>
  <si>
    <t xml:space="preserve">  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      </t>
  </si>
  <si>
    <t xml:space="preserve">    حسابرس                                                                                                                                                                                                                                                                                                                                                                                   حسابرس مسوول                                                                                                                                                                                                                                                                                                                                                                              رییس اداره     </t>
  </si>
  <si>
    <t xml:space="preserve">  توجه: 1 -در رديف اول ستون رديف دستگاه اجرايي(مصوب)،رديف دستگاه اجرايي اصلي و رديفهاي بعدي به تفكيك رديف دستگاههاي اجراييابلاغ دهنده (در صورت وجود )براي هر ابلاغ دهنده تكميل مي گردد. 2-ستون انتقالی مورد استفاده دستگاه های اجرایی است که طبق قانون اجازه انتقال وجه به سال بعد را دارند.</t>
  </si>
  <si>
    <t xml:space="preserve">       نام دستگاه</t>
  </si>
  <si>
    <t xml:space="preserve">           ر دیف دستگاه</t>
  </si>
  <si>
    <t xml:space="preserve">         سال عملکرد</t>
  </si>
  <si>
    <t xml:space="preserve">    رییس اداره دفترداری وتنظیم حسابها</t>
  </si>
  <si>
    <t xml:space="preserve">     رییس دستگاه اجرایی</t>
  </si>
  <si>
    <t xml:space="preserve">    ذیحساب</t>
  </si>
  <si>
    <t>فرم2ه</t>
  </si>
  <si>
    <t>مشخصات دستگاه اجرایی</t>
  </si>
  <si>
    <t>حساب تعهدات پرداختنی</t>
  </si>
  <si>
    <t>طرف حساب تعهدات پرداختنی</t>
  </si>
  <si>
    <t xml:space="preserve">دستگاه اجرایی  ابلاغي </t>
  </si>
  <si>
    <t xml:space="preserve"> اعتبارات ابلاغي </t>
  </si>
  <si>
    <t>درخواست وجه حقوق ومزایای مستمر ماهیانه ابلاغی</t>
  </si>
  <si>
    <t>دريافتي بابت اعتبارات ابلاغي</t>
  </si>
  <si>
    <t>تامين اعتبار ابلاغی</t>
  </si>
  <si>
    <t>ذخيره تامين اعتبار ابلاغی</t>
  </si>
  <si>
    <t>تنخواه گردان پرداخت  ابلاغی</t>
  </si>
  <si>
    <t>هزينه از محل اعتبار ابلاغی</t>
  </si>
  <si>
    <t xml:space="preserve">هزينه حقوق و مزايای مستمر کار کنان ابلاغی </t>
  </si>
  <si>
    <t>هزينه بازنشستگی بيمه تامين اجتماعی بيمه خدمات درمانی سهم دولت ابلاغی</t>
  </si>
  <si>
    <t>تملک داراييهاي مالي ابلاغی</t>
  </si>
  <si>
    <t>موقت بانکی ابلاغی</t>
  </si>
  <si>
    <t>کسور وصولي  ابلاغی</t>
  </si>
  <si>
    <t>ماليات وصولی  ابلاغی</t>
  </si>
  <si>
    <t>بيمه تامين اجتماعی وصولی سهم کارمند و سهم دولت ابلاغی</t>
  </si>
  <si>
    <t>بيمه خدمات درمانی وصولی سهم کارمند و سهم دولت ابلاغی</t>
  </si>
  <si>
    <t>ساير کسور وصولی کارکنان ابلاغی</t>
  </si>
  <si>
    <t>کسور ارسالي ابلاغی</t>
  </si>
  <si>
    <t>ماليات ارسالی ابلاغی</t>
  </si>
  <si>
    <t>بيمه تامين اجتماعی ارسالی سهم کارمند و سهم دولت ابلاغی</t>
  </si>
  <si>
    <t>بيمه خدمات درمانی ارسالی سهم کارمند و سهم دولت ابلاغی</t>
  </si>
  <si>
    <t>ساير کسور ارسالی کارکنان ابلاغی</t>
  </si>
  <si>
    <t>کسور بازنشستگي وصولی ابلاغی</t>
  </si>
  <si>
    <t>کسور بازنشستگي ارسالي ابلاغی</t>
  </si>
  <si>
    <t>حق بازنشستگی وصولی سهم کارمند ودولت ابلاغی</t>
  </si>
  <si>
    <t>حق بازنشستگی ارسالی سهم کارمند ودولت ابلاغی</t>
  </si>
  <si>
    <t>حساب کسري ابوابجمعي ابلاغی</t>
  </si>
  <si>
    <t>حساب کسري ابواب جمعي برداشتي  به مجب احکام صادره ابلاغی</t>
  </si>
  <si>
    <t>حساب کسري ابواب جمعي برداشتي  به مجب احکام صادره سنواتی</t>
  </si>
  <si>
    <t xml:space="preserve"> اسناد هزينه واخواهي شده وجوه مصرف نشده</t>
  </si>
  <si>
    <t>حساب کسري ابواب جمعي برداشتي  به مجب احکام صادره  وجوه سنوات قبل</t>
  </si>
  <si>
    <t>حساب مطالبات قابل وصول/بدهکاران</t>
  </si>
  <si>
    <t>حساب ها واسناد دریافتنی</t>
  </si>
  <si>
    <t>پيش دريافت درآمد/عوارض</t>
  </si>
  <si>
    <t>درامد خصوصی وصولی</t>
  </si>
  <si>
    <t>درامد خصوصی ارسالي</t>
  </si>
  <si>
    <t>مازادواگذاري داراييهاي سرمايه اي پيش بيني شده</t>
  </si>
  <si>
    <t>بانک تمرکز وجوه واگذاري داراييهاي سرمايه اي عمومی</t>
  </si>
  <si>
    <t xml:space="preserve">  وصولی واگذاري داراييهاي سرمايه اي عمومی استان با سایردستگاهها</t>
  </si>
  <si>
    <t xml:space="preserve">  وصولی واگذاري داراييهاي سرمايه اي عمومی  واحدهای تابعه دراستان </t>
  </si>
  <si>
    <t>حساب مطالبات قابل وصول /بدهکاران واگذاري داراييهاي سرمايه اي عمومی</t>
  </si>
  <si>
    <t>حساب اسناددریافتنی واگذاري داراييهاي سرمايه اي عمومی</t>
  </si>
  <si>
    <t>حسابها و اسناددریافتنی واگذاري داراييهاي سرمايه اي عمومی</t>
  </si>
  <si>
    <t>حساب اسناد درجریان وصول واگذاري داراييهاي سرمايه اي عمومی</t>
  </si>
  <si>
    <t>حساب اسنادنکول شده واگذاري داراييهاي سرمايه اي عمومی</t>
  </si>
  <si>
    <t>حساب اجراءودعاوی حقوقی واگذاری دارایی سرمایه ای عمومی</t>
  </si>
  <si>
    <t>حوالجات اختصاصی</t>
  </si>
  <si>
    <t>اسناد هزینه واخواهی شده اختصاصی</t>
  </si>
  <si>
    <t>کسری ابوابجمعی برداشتی به موجب احکام صادره اختصاصی</t>
  </si>
  <si>
    <t>پيش پرداخت اختصاصي سال قبل</t>
  </si>
  <si>
    <t>هزينه ازمحل پيش پرداخت اختصاصي سال قبل</t>
  </si>
  <si>
    <t>علي الحساب اختصاصي سال قبل</t>
  </si>
  <si>
    <t>هزينه از محل علي الحساب اختصاصي سال قبل</t>
  </si>
  <si>
    <t>اسناد هزینه واخواهی شده اختصاصی سال قبل</t>
  </si>
  <si>
    <t>کسری ابوابجمعی  اختصاصی سال قبل</t>
  </si>
  <si>
    <t>کسری ابوابجمعی برداشتی به موجب احکام صادره اختصاصی سال قبل</t>
  </si>
  <si>
    <t>دستگاه اجرايي ابلاغی اختصاصي</t>
  </si>
  <si>
    <t xml:space="preserve">اعتبار ابلاغی اختصاصی مصوب </t>
  </si>
  <si>
    <t>دريافتي بابت اعتبار ابلاغی اختصاصي</t>
  </si>
  <si>
    <t>بانك پرداخت ابلاغی اختصاصی</t>
  </si>
  <si>
    <t>تامين اعتبارابلاغی اختصاصی</t>
  </si>
  <si>
    <t>ذخيره تامين اعتبار ابلاغی اختصاصی</t>
  </si>
  <si>
    <t>هزينه ابلاغی ازمحل درآمد اختصاصی</t>
  </si>
  <si>
    <t>پيش پرداخت ابلاغی ازمحل درآمد اختصاصي</t>
  </si>
  <si>
    <t>علي الحساب ابلاغی از محل درآمد اختصاصي</t>
  </si>
  <si>
    <t>تنخواه گردان پرداخت ابلاغی از محل درآمد اختصاصي</t>
  </si>
  <si>
    <t>اسناد وصولي از عامل ذيحساب ابلاغی اختصاصي</t>
  </si>
  <si>
    <t>اسناد هزینه واخواهی شده  ابلاغی اختصاصی</t>
  </si>
  <si>
    <t>حساب كسري ابواب جمعي ابلاغی اختصاصي</t>
  </si>
  <si>
    <t>کسری ابوابجمعی برداشتی به موجب احکام صادره ابلاغی اختصاصی</t>
  </si>
  <si>
    <t>پيش پرداخت ابلاغی اختصاصي سال قبل</t>
  </si>
  <si>
    <t>هزينه ازمحل پيش پرداخت ابلاغی اختصاصي سال قبل</t>
  </si>
  <si>
    <t>علي الحساب  ابلاغی اختصاصي سال قبل</t>
  </si>
  <si>
    <t>هزينه از محل علي الحساب ابلاغی اختصاصي سال قبل</t>
  </si>
  <si>
    <t>اسناد هزینه واخواهی شده ابلاغی اختصاصی سال قبل</t>
  </si>
  <si>
    <t>کسری ابوابجمعی  ابلاغی اختصاصی سال قبل</t>
  </si>
  <si>
    <t>کسری ابوابجمعی برداشتی به موجب احکام صادره ابلاغی اختصاصی سال قبل</t>
  </si>
  <si>
    <t>دريافتي از خزانه درسنوات قبل ابلاغی اختصاصي</t>
  </si>
  <si>
    <t>تامين اعتبارابلاغی اختصاصي سنواتي</t>
  </si>
  <si>
    <t>ذخيره تامين اعتبارابلاغی اختصاصي سنواتي</t>
  </si>
  <si>
    <t xml:space="preserve">کسری ابوابجمعی برداشتی به موجب احکام صادره از محل وجوه سنوات قبل اختصاصی </t>
  </si>
  <si>
    <t>حساب مطالبات قابل وصول /بدهکاران اختصاصی</t>
  </si>
  <si>
    <t>حساب اسناددریافتنی  اختصاصی</t>
  </si>
  <si>
    <t>حساب اسناد درجریان وصول اختصاصی</t>
  </si>
  <si>
    <t>حساب اسنادنکول شده  اختصاصی</t>
  </si>
  <si>
    <t>حساب اجراءودعاوی حقوقی اختصاصی</t>
  </si>
  <si>
    <t>حساب کنترل درآمد  اختصاصی</t>
  </si>
  <si>
    <t>واگذاري داراييهاي سرمايه اي ارسالي اختصاصی</t>
  </si>
  <si>
    <t>واگذاري داراييهاي سرمايه اي انتقالي اختصاصي</t>
  </si>
  <si>
    <t xml:space="preserve">  وصولی واگذاري داراييهاي سرمايه اي  استان با سایردستگاهها اختصاصي</t>
  </si>
  <si>
    <t xml:space="preserve">  وصولی واگذاري داراييهاي سرمايه اي  واحدهای تابعه دراستان  اختصاصي</t>
  </si>
  <si>
    <t>حساب مطالبات قابل وصول /بدهکاران واگذاري داراييهاي سرمايه اي اختصاصي</t>
  </si>
  <si>
    <t>حساب اسناددریافتنی واگذاري داراييهاي سرمايه اي اختصاصي</t>
  </si>
  <si>
    <t>حسابها و اسناددریافتنی واگذاري داراييهاي سرمايه اي اختصاصي</t>
  </si>
  <si>
    <t>حساب اسناد درجریان وصول واگذاري داراييهاي سرمايه اي اختصاصي</t>
  </si>
  <si>
    <t>حساب اسنادنکول شده واگذاري داراييهاي سرمايه اي اختصاصي</t>
  </si>
  <si>
    <t>حساب اجراءودعاوی حقوقی واگذاری دارایی سرمایه ای اختصاصي</t>
  </si>
  <si>
    <t>حساب کنترل واگذاري داراييهاي سرمايه اي  اختصاصي</t>
  </si>
  <si>
    <t>اسناد هزینه واخواهی شده سپرده</t>
  </si>
  <si>
    <t>کسری ابوابجمعی سپرده</t>
  </si>
  <si>
    <t>کسری ابوابجمعی برداشتی سپرده به موجب احکام سپرده</t>
  </si>
  <si>
    <t>منابع عمومی (منابع برگشتی از محل تسهیلات اعطایی وجوه اداره شده )وصولی</t>
  </si>
  <si>
    <t>منابع عمومی (منابع برگشتی از محل تسهیلات اعطایی وجوه اداره شده )ارسالی</t>
  </si>
  <si>
    <t xml:space="preserve">  حساب های انتظامی</t>
  </si>
  <si>
    <t xml:space="preserve"> حساب وجوه مصرف نشده سنوات قبل</t>
  </si>
  <si>
    <t xml:space="preserve"> حساب های سنواتی</t>
  </si>
  <si>
    <t xml:space="preserve"> حساب های اعتبارات ابلاغی</t>
  </si>
  <si>
    <t xml:space="preserve"> حساب های بودجه ای و دريافت وپرداخت</t>
  </si>
  <si>
    <t xml:space="preserve"> حساب های درآمدهای عمومی</t>
  </si>
  <si>
    <t xml:space="preserve"> حساب های واگذاری دارايي های سرمايه ای عمومی</t>
  </si>
  <si>
    <t xml:space="preserve"> حساب های اعتباراختصاصی</t>
  </si>
  <si>
    <t xml:space="preserve"> حساب های اعتبار ابلاغی اختصاصی</t>
  </si>
  <si>
    <t xml:space="preserve">  حساب های وجوه مصرف نشده سنوات قبل اختصاصی</t>
  </si>
  <si>
    <t xml:space="preserve"> حساب های درآمد اختصاصی</t>
  </si>
  <si>
    <t>حساب های واگذاری دارايي های سرمايه ای اختصاصی</t>
  </si>
  <si>
    <t xml:space="preserve"> حساب های وجوه سپرده</t>
  </si>
  <si>
    <t xml:space="preserve"> حساب های بازنشستگان وموظفین</t>
  </si>
  <si>
    <t xml:space="preserve"> حساب های استردادکسوربازنشستگی</t>
  </si>
  <si>
    <t xml:space="preserve"> حساب های سایرمنابع</t>
  </si>
  <si>
    <t>حساب های هدایای خاص</t>
  </si>
  <si>
    <t xml:space="preserve"> حساب های یارانه</t>
  </si>
  <si>
    <t xml:space="preserve"> حساب  های درآمدخانه های سازمانی</t>
  </si>
  <si>
    <t>حساب های وجوه نامشخص-وجوه چکهای بين راهی و اشتباه واريزی</t>
  </si>
  <si>
    <t>حساب های اوراق بهادار</t>
  </si>
  <si>
    <t xml:space="preserve"> حساب های تبصره 40</t>
  </si>
  <si>
    <t xml:space="preserve"> حساب های تبصره 5 و ماده 22 سازمان تعزیرات</t>
  </si>
  <si>
    <t xml:space="preserve"> حساب های وجوه صندوق الف وب </t>
  </si>
  <si>
    <t xml:space="preserve"> حساب های وجوه اداره شده</t>
  </si>
  <si>
    <t xml:space="preserve"> حساب های اموال منقول غيرمصرفی</t>
  </si>
  <si>
    <t xml:space="preserve">  مانده بدهکار تا پايان دوره متمم</t>
  </si>
  <si>
    <t xml:space="preserve">        صورت خلاصه نماینده عملکرد اعتبارات هزینه بر حسب برنامه</t>
  </si>
  <si>
    <t xml:space="preserve">        صورت خلاصه نماینده عملکرد اعتبارات  اختصاصی  بر حسب برنامه</t>
  </si>
  <si>
    <t>حساب درآمد واحدهاي دستگاه اختصاصي</t>
  </si>
  <si>
    <t xml:space="preserve">    (  O   صورتحساب سنواتی   ثبتی    O    واخواهی  )                                                                     </t>
  </si>
  <si>
    <t xml:space="preserve">                                                           (  O   صورتحساب سنواتی   ثبتی    O    واخواهی  )    </t>
  </si>
  <si>
    <t xml:space="preserve">      وزارت امور اقتصادی ودارايی</t>
  </si>
  <si>
    <t xml:space="preserve">     اداره کل تمرکز وتلفيق حسابها وروشهای حسابداری</t>
  </si>
  <si>
    <t xml:space="preserve">تراز گروه حسابها در سال </t>
  </si>
  <si>
    <t xml:space="preserve">       (اعتبارات هزينه ای)</t>
  </si>
  <si>
    <t>عنوان دستگاه :</t>
  </si>
  <si>
    <r>
      <t xml:space="preserve">                  درآمد عمومی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 </t>
    </r>
    <r>
      <rPr>
        <u/>
        <sz val="16"/>
        <color theme="1"/>
        <rFont val="IranNastaliq"/>
        <family val="1"/>
      </rPr>
      <t xml:space="preserve"> درآمد اختصاصی</t>
    </r>
    <r>
      <rPr>
        <sz val="16"/>
        <color theme="1"/>
        <rFont val="IranNastaliq"/>
        <family val="1"/>
      </rPr>
      <t xml:space="preserve">     </t>
    </r>
    <r>
      <rPr>
        <sz val="16"/>
        <color theme="1"/>
        <rFont val="ITC Zapf Dingbats"/>
        <family val="1"/>
        <charset val="2"/>
      </rPr>
      <t>l</t>
    </r>
    <r>
      <rPr>
        <sz val="16"/>
        <color theme="1"/>
        <rFont val="IranNastaliq"/>
        <family val="1"/>
      </rPr>
      <t xml:space="preserve">      واگذاری دارایی های مالی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واگذاری دارایی های سرمایه ای عمومی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واگذاری دارایی های سرمایه ای  اختصاصی   </t>
    </r>
    <r>
      <rPr>
        <sz val="16"/>
        <color theme="1"/>
        <rFont val="Palatino"/>
        <family val="1"/>
      </rPr>
      <t>O</t>
    </r>
  </si>
  <si>
    <r>
      <t xml:space="preserve">              </t>
    </r>
    <r>
      <rPr>
        <u/>
        <sz val="16"/>
        <color theme="1"/>
        <rFont val="IranNastaliq"/>
        <family val="1"/>
      </rPr>
      <t xml:space="preserve">    درآمد عمومی </t>
    </r>
    <r>
      <rPr>
        <sz val="16"/>
        <color theme="1"/>
        <rFont val="IranNastaliq"/>
        <family val="1"/>
      </rPr>
      <t xml:space="preserve">    </t>
    </r>
    <r>
      <rPr>
        <sz val="16"/>
        <color theme="1"/>
        <rFont val="ITC Zapf Dingbats"/>
        <family val="1"/>
        <charset val="2"/>
      </rPr>
      <t>l</t>
    </r>
    <r>
      <rPr>
        <sz val="16"/>
        <color theme="1"/>
        <rFont val="IranNastaliq"/>
        <family val="1"/>
      </rPr>
      <t xml:space="preserve">        درآمد اختصاصی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واگذاری دارایی های مالی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واگذاری دارایی های سرمایه ای عمومی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واگذاری دارایی های سرمایه ای  اختصاصی   </t>
    </r>
    <r>
      <rPr>
        <sz val="16"/>
        <color theme="1"/>
        <rFont val="Palatino"/>
        <family val="1"/>
      </rPr>
      <t>O</t>
    </r>
  </si>
  <si>
    <r>
      <t xml:space="preserve">                  درآمد عمومی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  درآمد اختصاصی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</t>
    </r>
    <r>
      <rPr>
        <b/>
        <u/>
        <sz val="16"/>
        <color theme="1"/>
        <rFont val="IranNastaliq"/>
        <family val="1"/>
      </rPr>
      <t xml:space="preserve">  </t>
    </r>
    <r>
      <rPr>
        <u/>
        <sz val="16"/>
        <color theme="1"/>
        <rFont val="IranNastaliq"/>
        <family val="1"/>
      </rPr>
      <t>واگذاری دارایی های مالی</t>
    </r>
    <r>
      <rPr>
        <sz val="16"/>
        <color theme="1"/>
        <rFont val="IranNastaliq"/>
        <family val="1"/>
      </rPr>
      <t xml:space="preserve">  </t>
    </r>
    <r>
      <rPr>
        <sz val="16"/>
        <color theme="1"/>
        <rFont val="ITC Zapf Dingbats"/>
        <family val="1"/>
        <charset val="2"/>
      </rPr>
      <t>l</t>
    </r>
    <r>
      <rPr>
        <sz val="16"/>
        <color theme="1"/>
        <rFont val="IranNastaliq"/>
        <family val="1"/>
      </rPr>
      <t xml:space="preserve">      واگذاری دارایی های سرمایه ای عمومی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واگذاری دارایی های سرمایه ای  اختصاصی   </t>
    </r>
    <r>
      <rPr>
        <sz val="16"/>
        <color theme="1"/>
        <rFont val="Palatino"/>
        <family val="1"/>
      </rPr>
      <t>O</t>
    </r>
  </si>
  <si>
    <r>
      <t xml:space="preserve">                  درآمد عمومی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  درآمد اختصاصی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واگذاری دارایی های مالی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</t>
    </r>
    <r>
      <rPr>
        <u/>
        <sz val="16"/>
        <color theme="1"/>
        <rFont val="IranNastaliq"/>
        <family val="1"/>
      </rPr>
      <t>واگذاری دارایی های سرمایه ای عمومی</t>
    </r>
    <r>
      <rPr>
        <sz val="16"/>
        <color theme="1"/>
        <rFont val="IranNastaliq"/>
        <family val="1"/>
      </rPr>
      <t xml:space="preserve">     </t>
    </r>
    <r>
      <rPr>
        <sz val="16"/>
        <color theme="1"/>
        <rFont val="ITC Zapf Dingbats"/>
        <family val="1"/>
        <charset val="2"/>
      </rPr>
      <t>l</t>
    </r>
    <r>
      <rPr>
        <sz val="16"/>
        <color theme="1"/>
        <rFont val="IranNastaliq"/>
        <family val="1"/>
      </rPr>
      <t xml:space="preserve">     واگذاری دارایی های سرمایه ای  اختصاصی   </t>
    </r>
    <r>
      <rPr>
        <sz val="16"/>
        <color theme="1"/>
        <rFont val="Palatino"/>
        <family val="1"/>
      </rPr>
      <t>O</t>
    </r>
  </si>
  <si>
    <r>
      <t xml:space="preserve">                  درآمد عمومی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  درآمد اختصاصی   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واگذاری دارایی های مالی  </t>
    </r>
    <r>
      <rPr>
        <sz val="16"/>
        <color theme="1"/>
        <rFont val="Palatino"/>
        <family val="1"/>
      </rPr>
      <t>O</t>
    </r>
    <r>
      <rPr>
        <sz val="16"/>
        <color theme="1"/>
        <rFont val="IranNastaliq"/>
        <family val="1"/>
      </rPr>
      <t xml:space="preserve">      واگذاری دارایی های سرمایه ای عمومی     O  </t>
    </r>
    <r>
      <rPr>
        <u/>
        <sz val="16"/>
        <color theme="1"/>
        <rFont val="IranNastaliq"/>
        <family val="1"/>
      </rPr>
      <t xml:space="preserve">   واگذاری دارایی های سرمایه ای  اختصاصی</t>
    </r>
    <r>
      <rPr>
        <sz val="16"/>
        <color theme="1"/>
        <rFont val="IranNastaliq"/>
        <family val="1"/>
      </rPr>
      <t xml:space="preserve">   </t>
    </r>
    <r>
      <rPr>
        <sz val="16"/>
        <color theme="1"/>
        <rFont val="Palatino"/>
        <family val="1"/>
      </rPr>
      <t>l</t>
    </r>
  </si>
  <si>
    <t>1'!A1</t>
  </si>
  <si>
    <t>2'!A1</t>
  </si>
  <si>
    <t xml:space="preserve"> 3'!A1</t>
  </si>
  <si>
    <t>4استانی '!A1</t>
  </si>
  <si>
    <t xml:space="preserve">  5 استانی'!A1</t>
  </si>
  <si>
    <t>2ابلاغی'!A1</t>
  </si>
  <si>
    <t>3 ابلاغی'!A1</t>
  </si>
  <si>
    <t>4ابلاغی'!A1</t>
  </si>
  <si>
    <t>5 ابلاغی'!A1</t>
  </si>
  <si>
    <t>6'!A1</t>
  </si>
  <si>
    <t>7'!A1</t>
  </si>
  <si>
    <t xml:space="preserve"> 8'!A1</t>
  </si>
  <si>
    <t>9'!A1</t>
  </si>
  <si>
    <t>10'!A1</t>
  </si>
  <si>
    <t>11'!A1</t>
  </si>
  <si>
    <t>12'!A1</t>
  </si>
  <si>
    <t>13 استانی'!A1</t>
  </si>
  <si>
    <t>14استانی'!A1</t>
  </si>
  <si>
    <t>13 ابلاغی'!A1</t>
  </si>
  <si>
    <t>14ابلاغی'!A1</t>
  </si>
  <si>
    <t>15ابلاغی'!A1</t>
  </si>
  <si>
    <t>15استانی'!A1</t>
  </si>
  <si>
    <t>رو کش تراز '!A1</t>
  </si>
  <si>
    <t>فرم11ه</t>
  </si>
  <si>
    <t>صفحه اصلی'!B139</t>
  </si>
  <si>
    <t xml:space="preserve">        صورت خلاصه نماینده   عملکرد اعتبارات هزینه بر حسب  اعتبار مصوب و ابلاغی</t>
  </si>
  <si>
    <t xml:space="preserve">        صورت خلاصه نماینده  اعتبارات هزینه بر حسب  فصول هزینه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</si>
</sst>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83">
    <font>
      <sz val="11"/>
      <color theme="1"/>
      <name val="Arial"/>
      <family val="2"/>
      <charset val="178"/>
      <scheme val="minor"/>
    </font>
    <font>
      <sz val="11"/>
      <color theme="1"/>
      <name val="IranNastaliq"/>
      <family val="1"/>
    </font>
    <font>
      <sz val="16"/>
      <name val="IranNastaliq"/>
      <family val="1"/>
    </font>
    <font>
      <sz val="14"/>
      <name val="IranNastaliq"/>
      <family val="1"/>
    </font>
    <font>
      <sz val="16"/>
      <color theme="1"/>
      <name val="IranNastaliq"/>
      <family val="1"/>
    </font>
    <font>
      <sz val="16"/>
      <color theme="1"/>
      <name val="Arial"/>
      <family val="2"/>
      <charset val="178"/>
      <scheme val="minor"/>
    </font>
    <font>
      <sz val="14"/>
      <color theme="1"/>
      <name val="IranNastaliq"/>
      <family val="1"/>
    </font>
    <font>
      <sz val="14"/>
      <color theme="1"/>
      <name val="Arial"/>
      <family val="2"/>
      <charset val="178"/>
      <scheme val="minor"/>
    </font>
    <font>
      <sz val="14"/>
      <color theme="1"/>
      <name val="B Nazanin"/>
      <charset val="178"/>
    </font>
    <font>
      <sz val="10"/>
      <color theme="1"/>
      <name val="IranNastaliq"/>
      <family val="1"/>
    </font>
    <font>
      <sz val="14"/>
      <color theme="1"/>
      <name val="B Mitra"/>
      <charset val="178"/>
    </font>
    <font>
      <sz val="12"/>
      <color theme="1"/>
      <name val="IranNastaliq"/>
      <family val="1"/>
    </font>
    <font>
      <sz val="12"/>
      <color theme="1"/>
      <name val="Arial"/>
      <family val="2"/>
      <charset val="178"/>
      <scheme val="minor"/>
    </font>
    <font>
      <sz val="10"/>
      <color theme="1"/>
      <name val="Arial"/>
      <family val="2"/>
      <charset val="178"/>
      <scheme val="minor"/>
    </font>
    <font>
      <sz val="16"/>
      <color theme="1"/>
      <name val="B Mitra"/>
      <charset val="178"/>
    </font>
    <font>
      <sz val="16"/>
      <color theme="1"/>
      <name val="B Nazanin"/>
      <charset val="178"/>
    </font>
    <font>
      <sz val="18"/>
      <name val="B Nazanin"/>
      <charset val="178"/>
    </font>
    <font>
      <sz val="14"/>
      <name val="B Nazanin"/>
      <charset val="178"/>
    </font>
    <font>
      <sz val="10"/>
      <name val="B Nazanin"/>
      <charset val="178"/>
    </font>
    <font>
      <b/>
      <sz val="11"/>
      <name val="B Nazanin"/>
      <charset val="178"/>
    </font>
    <font>
      <b/>
      <sz val="16"/>
      <name val="B Nazanin"/>
      <charset val="178"/>
    </font>
    <font>
      <sz val="14"/>
      <name val="B Mitra"/>
      <charset val="178"/>
    </font>
    <font>
      <b/>
      <sz val="14"/>
      <name val="B Mitra"/>
      <charset val="178"/>
    </font>
    <font>
      <sz val="16"/>
      <color theme="1"/>
      <name val="ITC Zapf Dingbats"/>
      <family val="1"/>
      <charset val="2"/>
    </font>
    <font>
      <sz val="16"/>
      <color theme="1"/>
      <name val="Palatino"/>
      <family val="1"/>
    </font>
    <font>
      <sz val="10"/>
      <name val="Arial"/>
      <family val="2"/>
    </font>
    <font>
      <sz val="11"/>
      <color indexed="8"/>
      <name val="Arial"/>
      <family val="2"/>
      <charset val="178"/>
    </font>
    <font>
      <b/>
      <sz val="12"/>
      <name val="B Nazanin"/>
      <charset val="178"/>
    </font>
    <font>
      <sz val="14"/>
      <color rgb="FFC00000"/>
      <name val="B Nazanin"/>
      <charset val="178"/>
    </font>
    <font>
      <sz val="16"/>
      <color rgb="FFC00000"/>
      <name val="B Nazanin"/>
      <charset val="178"/>
    </font>
    <font>
      <sz val="11"/>
      <color rgb="FFC00000"/>
      <name val="Arial"/>
      <family val="2"/>
      <charset val="178"/>
      <scheme val="minor"/>
    </font>
    <font>
      <sz val="18"/>
      <color rgb="FFC00000"/>
      <name val="B Nazanin"/>
      <charset val="178"/>
    </font>
    <font>
      <sz val="16"/>
      <color rgb="FFC00000"/>
      <name val="Arial"/>
      <family val="2"/>
      <charset val="178"/>
      <scheme val="minor"/>
    </font>
    <font>
      <sz val="14"/>
      <color rgb="FFC00000"/>
      <name val="Arial"/>
      <family val="2"/>
      <charset val="178"/>
      <scheme val="minor"/>
    </font>
    <font>
      <sz val="12"/>
      <color rgb="FFC00000"/>
      <name val="Arial"/>
      <family val="2"/>
      <charset val="178"/>
      <scheme val="minor"/>
    </font>
    <font>
      <sz val="10"/>
      <color theme="1"/>
      <name val="B Nazanin"/>
      <charset val="178"/>
    </font>
    <font>
      <sz val="18"/>
      <color theme="1"/>
      <name val="B Nazanin"/>
      <charset val="178"/>
    </font>
    <font>
      <sz val="18"/>
      <color indexed="8"/>
      <name val="Arial"/>
      <family val="2"/>
      <charset val="178"/>
    </font>
    <font>
      <b/>
      <sz val="14"/>
      <name val="B Nazanin"/>
      <charset val="178"/>
    </font>
    <font>
      <sz val="20"/>
      <color theme="1"/>
      <name val="IranNastaliq"/>
      <family val="1"/>
    </font>
    <font>
      <sz val="20"/>
      <color theme="1"/>
      <name val="Arial"/>
      <family val="2"/>
      <charset val="178"/>
      <scheme val="minor"/>
    </font>
    <font>
      <sz val="14"/>
      <color indexed="8"/>
      <name val="Arial"/>
      <family val="2"/>
      <charset val="178"/>
    </font>
    <font>
      <sz val="18"/>
      <color theme="1"/>
      <name val="IranNastaliq"/>
      <family val="1"/>
    </font>
    <font>
      <sz val="9"/>
      <color theme="1"/>
      <name val="B Nazanin"/>
      <charset val="178"/>
    </font>
    <font>
      <sz val="9"/>
      <name val="B Nazanin"/>
      <charset val="178"/>
    </font>
    <font>
      <sz val="11"/>
      <color theme="1"/>
      <name val="B Nazanin"/>
      <charset val="178"/>
    </font>
    <font>
      <sz val="9"/>
      <color indexed="8"/>
      <name val="B Nazanin"/>
      <charset val="178"/>
    </font>
    <font>
      <sz val="11"/>
      <color indexed="8"/>
      <name val="B Nazanin"/>
      <charset val="178"/>
    </font>
    <font>
      <sz val="20"/>
      <color theme="1"/>
      <name val="B Nazanin"/>
      <charset val="178"/>
    </font>
    <font>
      <sz val="18"/>
      <color rgb="FFFFFF00"/>
      <name val="B Nazanin"/>
      <charset val="178"/>
    </font>
    <font>
      <sz val="16"/>
      <color rgb="FFFFFF00"/>
      <name val="B Nazanin"/>
      <charset val="178"/>
    </font>
    <font>
      <u/>
      <sz val="16"/>
      <color theme="1"/>
      <name val="IranNastaliq"/>
      <family val="1"/>
    </font>
    <font>
      <sz val="10"/>
      <color rgb="FFC00000"/>
      <name val="Arial"/>
      <family val="2"/>
      <charset val="178"/>
      <scheme val="minor"/>
    </font>
    <font>
      <b/>
      <sz val="18"/>
      <name val="B Nazanin"/>
      <charset val="178"/>
    </font>
    <font>
      <sz val="15"/>
      <name val="B Nazanin"/>
      <charset val="178"/>
    </font>
    <font>
      <b/>
      <sz val="15"/>
      <name val="B Nazanin"/>
      <charset val="178"/>
    </font>
    <font>
      <sz val="13"/>
      <name val="B Nazanin"/>
      <charset val="178"/>
    </font>
    <font>
      <sz val="11"/>
      <name val="B Nazanin"/>
      <charset val="178"/>
    </font>
    <font>
      <sz val="20"/>
      <name val="B Nazanin"/>
      <charset val="178"/>
    </font>
    <font>
      <sz val="16"/>
      <color rgb="FFC00000"/>
      <name val="IranNastaliq"/>
      <family val="1"/>
    </font>
    <font>
      <b/>
      <u/>
      <sz val="16"/>
      <color theme="1"/>
      <name val="IranNastaliq"/>
      <family val="1"/>
    </font>
    <font>
      <sz val="16"/>
      <color rgb="FFFFFF00"/>
      <name val="IranNastaliq"/>
      <family val="1"/>
    </font>
    <font>
      <sz val="16"/>
      <name val="B Nazanin"/>
      <charset val="178"/>
    </font>
    <font>
      <sz val="16"/>
      <color theme="1" tint="4.9989318521683403E-2"/>
      <name val="B Nazanin"/>
      <charset val="178"/>
    </font>
    <font>
      <sz val="16"/>
      <color theme="1" tint="4.9989318521683403E-2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8"/>
      <color theme="1"/>
      <name val="B Mitra"/>
      <charset val="178"/>
    </font>
    <font>
      <sz val="18"/>
      <name val="IranNastaliq"/>
      <family val="1"/>
    </font>
    <font>
      <sz val="18"/>
      <color rgb="FFC00000"/>
      <name val="Arial"/>
      <family val="2"/>
      <charset val="178"/>
      <scheme val="minor"/>
    </font>
    <font>
      <u/>
      <sz val="11"/>
      <color theme="10"/>
      <name val="Arial"/>
      <family val="2"/>
      <charset val="178"/>
    </font>
    <font>
      <sz val="10"/>
      <name val="Arial"/>
      <family val="2"/>
      <charset val="178"/>
      <scheme val="minor"/>
    </font>
    <font>
      <sz val="10"/>
      <name val="IranNastaliq"/>
      <family val="1"/>
    </font>
    <font>
      <sz val="22"/>
      <name val="IranNastaliq"/>
      <family val="1"/>
    </font>
    <font>
      <sz val="22"/>
      <name val="B Nazanin"/>
      <charset val="178"/>
    </font>
    <font>
      <sz val="11"/>
      <color indexed="81"/>
      <name val="B Titr"/>
      <charset val="178"/>
    </font>
    <font>
      <b/>
      <sz val="11"/>
      <color indexed="81"/>
      <name val="B Titr"/>
      <charset val="178"/>
    </font>
    <font>
      <sz val="10"/>
      <color theme="4" tint="0.79998168889431442"/>
      <name val="IranNastaliq"/>
      <family val="1"/>
    </font>
    <font>
      <sz val="10"/>
      <color theme="4" tint="0.79998168889431442"/>
      <name val="Arial"/>
      <family val="2"/>
      <charset val="178"/>
      <scheme val="minor"/>
    </font>
    <font>
      <sz val="10"/>
      <color theme="4" tint="0.79998168889431442"/>
      <name val="B Titr"/>
      <charset val="178"/>
    </font>
    <font>
      <sz val="9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theme="0"/>
      <name val="Arial"/>
      <family val="2"/>
      <charset val="178"/>
      <scheme val="minor"/>
    </font>
    <font>
      <u/>
      <sz val="11"/>
      <color theme="0"/>
      <name val="Arial"/>
      <family val="2"/>
      <charset val="17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7B854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6">
    <xf numFmtId="0" fontId="0" fillId="0" borderId="0"/>
    <xf numFmtId="0" fontId="25" fillId="0" borderId="0"/>
    <xf numFmtId="0" fontId="26" fillId="0" borderId="0"/>
    <xf numFmtId="44" fontId="25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</cellStyleXfs>
  <cellXfs count="804">
    <xf numFmtId="0" fontId="0" fillId="0" borderId="0" xfId="0"/>
    <xf numFmtId="0" fontId="2" fillId="3" borderId="0" xfId="0" applyFont="1" applyFill="1" applyAlignment="1" applyProtection="1">
      <alignment vertical="top" shrinkToFit="1"/>
    </xf>
    <xf numFmtId="3" fontId="18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shrinkToFit="1"/>
    </xf>
    <xf numFmtId="0" fontId="5" fillId="0" borderId="0" xfId="0" applyFont="1" applyAlignment="1" applyProtection="1">
      <alignment vertical="top" shrinkToFit="1"/>
    </xf>
    <xf numFmtId="0" fontId="6" fillId="0" borderId="0" xfId="0" applyNumberFormat="1" applyFont="1" applyAlignment="1" applyProtection="1">
      <alignment vertical="center" shrinkToFit="1"/>
    </xf>
    <xf numFmtId="0" fontId="7" fillId="0" borderId="0" xfId="0" applyNumberFormat="1" applyFont="1" applyAlignment="1" applyProtection="1">
      <alignment vertical="center" shrinkToFit="1"/>
    </xf>
    <xf numFmtId="0" fontId="8" fillId="0" borderId="11" xfId="0" applyNumberFormat="1" applyFont="1" applyBorder="1" applyAlignment="1" applyProtection="1">
      <alignment horizontal="right" vertical="center" shrinkToFit="1"/>
    </xf>
    <xf numFmtId="0" fontId="6" fillId="0" borderId="11" xfId="0" applyNumberFormat="1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shrinkToFit="1"/>
    </xf>
    <xf numFmtId="0" fontId="6" fillId="2" borderId="1" xfId="0" applyFont="1" applyFill="1" applyBorder="1" applyAlignment="1" applyProtection="1">
      <alignment horizontal="center" vertical="top" shrinkToFit="1"/>
    </xf>
    <xf numFmtId="3" fontId="8" fillId="2" borderId="32" xfId="0" applyNumberFormat="1" applyFont="1" applyFill="1" applyBorder="1" applyAlignment="1" applyProtection="1">
      <alignment horizontal="center" vertical="center" shrinkToFit="1"/>
    </xf>
    <xf numFmtId="3" fontId="8" fillId="2" borderId="35" xfId="0" applyNumberFormat="1" applyFont="1" applyFill="1" applyBorder="1" applyAlignment="1" applyProtection="1">
      <alignment horizontal="center" vertical="center" shrinkToFit="1"/>
    </xf>
    <xf numFmtId="3" fontId="8" fillId="2" borderId="54" xfId="0" applyNumberFormat="1" applyFont="1" applyFill="1" applyBorder="1" applyAlignment="1" applyProtection="1">
      <alignment horizontal="center" vertical="center" shrinkToFit="1"/>
    </xf>
    <xf numFmtId="3" fontId="8" fillId="2" borderId="53" xfId="0" applyNumberFormat="1" applyFont="1" applyFill="1" applyBorder="1" applyAlignment="1" applyProtection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top" shrinkToFit="1"/>
    </xf>
    <xf numFmtId="3" fontId="8" fillId="2" borderId="28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shrinkToFit="1"/>
    </xf>
    <xf numFmtId="0" fontId="13" fillId="0" borderId="0" xfId="0" applyFont="1" applyAlignment="1" applyProtection="1">
      <alignment vertical="top" shrinkToFit="1"/>
    </xf>
    <xf numFmtId="0" fontId="0" fillId="0" borderId="0" xfId="0" applyFont="1" applyAlignment="1" applyProtection="1">
      <alignment shrinkToFit="1"/>
    </xf>
    <xf numFmtId="0" fontId="1" fillId="0" borderId="13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top" shrinkToFit="1"/>
    </xf>
    <xf numFmtId="0" fontId="10" fillId="0" borderId="11" xfId="0" applyNumberFormat="1" applyFont="1" applyBorder="1" applyAlignment="1" applyProtection="1">
      <alignment horizontal="right" vertical="center" shrinkToFit="1"/>
    </xf>
    <xf numFmtId="0" fontId="0" fillId="0" borderId="31" xfId="0" applyBorder="1" applyAlignment="1" applyProtection="1">
      <alignment shrinkToFit="1"/>
    </xf>
    <xf numFmtId="3" fontId="15" fillId="2" borderId="9" xfId="0" applyNumberFormat="1" applyFont="1" applyFill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left" vertical="top" shrinkToFit="1"/>
    </xf>
    <xf numFmtId="3" fontId="8" fillId="2" borderId="4" xfId="0" applyNumberFormat="1" applyFont="1" applyFill="1" applyBorder="1" applyAlignment="1" applyProtection="1">
      <alignment horizontal="center" vertical="center" shrinkToFit="1"/>
    </xf>
    <xf numFmtId="3" fontId="8" fillId="2" borderId="62" xfId="0" applyNumberFormat="1" applyFont="1" applyFill="1" applyBorder="1" applyAlignment="1" applyProtection="1">
      <alignment horizontal="center" vertical="center" shrinkToFit="1"/>
    </xf>
    <xf numFmtId="3" fontId="22" fillId="4" borderId="0" xfId="0" applyNumberFormat="1" applyFont="1" applyFill="1" applyBorder="1" applyAlignment="1" applyProtection="1">
      <alignment horizontal="center" vertical="center"/>
    </xf>
    <xf numFmtId="3" fontId="21" fillId="4" borderId="70" xfId="0" applyNumberFormat="1" applyFont="1" applyFill="1" applyBorder="1" applyAlignment="1" applyProtection="1">
      <alignment horizontal="right" vertical="center" shrinkToFit="1"/>
    </xf>
    <xf numFmtId="3" fontId="21" fillId="4" borderId="1" xfId="0" applyNumberFormat="1" applyFont="1" applyFill="1" applyBorder="1" applyAlignment="1" applyProtection="1">
      <alignment horizontal="right" vertical="center" shrinkToFit="1"/>
    </xf>
    <xf numFmtId="0" fontId="0" fillId="0" borderId="0" xfId="0" applyProtection="1"/>
    <xf numFmtId="3" fontId="17" fillId="0" borderId="81" xfId="0" applyNumberFormat="1" applyFont="1" applyBorder="1" applyAlignment="1" applyProtection="1">
      <alignment horizontal="center" vertical="center" shrinkToFit="1"/>
    </xf>
    <xf numFmtId="3" fontId="22" fillId="4" borderId="81" xfId="0" applyNumberFormat="1" applyFont="1" applyFill="1" applyBorder="1" applyAlignment="1" applyProtection="1">
      <alignment horizontal="center" vertical="center"/>
    </xf>
    <xf numFmtId="0" fontId="0" fillId="0" borderId="81" xfId="0" applyBorder="1" applyProtection="1"/>
    <xf numFmtId="3" fontId="17" fillId="2" borderId="81" xfId="0" applyNumberFormat="1" applyFont="1" applyFill="1" applyBorder="1" applyAlignment="1" applyProtection="1">
      <alignment horizontal="center" vertical="center" shrinkToFit="1"/>
    </xf>
    <xf numFmtId="3" fontId="17" fillId="4" borderId="81" xfId="0" applyNumberFormat="1" applyFont="1" applyFill="1" applyBorder="1" applyAlignment="1" applyProtection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shrinkToFit="1"/>
    </xf>
    <xf numFmtId="3" fontId="8" fillId="2" borderId="6" xfId="0" applyNumberFormat="1" applyFont="1" applyFill="1" applyBorder="1" applyAlignment="1" applyProtection="1">
      <alignment horizontal="center" vertical="center" shrinkToFit="1"/>
    </xf>
    <xf numFmtId="3" fontId="8" fillId="2" borderId="63" xfId="0" applyNumberFormat="1" applyFont="1" applyFill="1" applyBorder="1" applyAlignment="1" applyProtection="1">
      <alignment horizontal="center" vertical="center" shrinkToFit="1"/>
    </xf>
    <xf numFmtId="0" fontId="14" fillId="0" borderId="11" xfId="0" applyNumberFormat="1" applyFont="1" applyBorder="1" applyAlignment="1" applyProtection="1">
      <alignment horizontal="right" vertical="top" shrinkToFit="1"/>
    </xf>
    <xf numFmtId="0" fontId="7" fillId="0" borderId="11" xfId="0" applyNumberFormat="1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3" fontId="0" fillId="0" borderId="0" xfId="0" applyNumberFormat="1" applyAlignment="1" applyProtection="1">
      <alignment vertical="center" shrinkToFit="1"/>
    </xf>
    <xf numFmtId="3" fontId="8" fillId="2" borderId="27" xfId="0" applyNumberFormat="1" applyFont="1" applyFill="1" applyBorder="1" applyAlignment="1" applyProtection="1">
      <alignment horizontal="center" vertical="center" shrinkToFit="1"/>
    </xf>
    <xf numFmtId="49" fontId="11" fillId="0" borderId="0" xfId="0" applyNumberFormat="1" applyFont="1" applyBorder="1" applyAlignment="1" applyProtection="1">
      <alignment horizontal="righ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vertical="center" shrinkToFit="1"/>
    </xf>
    <xf numFmtId="3" fontId="8" fillId="2" borderId="46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shrinkToFit="1"/>
    </xf>
    <xf numFmtId="0" fontId="9" fillId="0" borderId="24" xfId="0" applyFont="1" applyBorder="1" applyAlignment="1" applyProtection="1">
      <alignment horizontal="center" vertical="top" shrinkToFit="1"/>
    </xf>
    <xf numFmtId="0" fontId="9" fillId="0" borderId="22" xfId="0" applyFont="1" applyBorder="1" applyAlignment="1" applyProtection="1">
      <alignment horizontal="center" vertical="top" shrinkToFit="1"/>
    </xf>
    <xf numFmtId="0" fontId="9" fillId="0" borderId="29" xfId="0" applyFont="1" applyBorder="1" applyAlignment="1" applyProtection="1">
      <alignment horizontal="center" vertical="top" shrinkToFit="1"/>
    </xf>
    <xf numFmtId="49" fontId="11" fillId="0" borderId="0" xfId="0" applyNumberFormat="1" applyFont="1" applyAlignment="1" applyProtection="1">
      <alignment horizontal="right" vertical="center" shrinkToFit="1"/>
    </xf>
    <xf numFmtId="0" fontId="6" fillId="2" borderId="30" xfId="0" applyFont="1" applyFill="1" applyBorder="1" applyAlignment="1" applyProtection="1">
      <alignment horizontal="center" vertical="center" shrinkToFit="1"/>
    </xf>
    <xf numFmtId="49" fontId="11" fillId="0" borderId="0" xfId="0" applyNumberFormat="1" applyFont="1" applyBorder="1" applyAlignment="1" applyProtection="1">
      <alignment vertical="center" shrinkToFit="1"/>
    </xf>
    <xf numFmtId="0" fontId="9" fillId="0" borderId="33" xfId="0" applyFont="1" applyBorder="1" applyAlignment="1" applyProtection="1">
      <alignment horizontal="center" vertical="top" shrinkToFit="1"/>
    </xf>
    <xf numFmtId="0" fontId="9" fillId="0" borderId="50" xfId="0" applyFont="1" applyBorder="1" applyAlignment="1" applyProtection="1">
      <alignment horizontal="center" vertical="top" shrinkToFit="1"/>
    </xf>
    <xf numFmtId="3" fontId="8" fillId="2" borderId="4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top" shrinkToFit="1"/>
    </xf>
    <xf numFmtId="3" fontId="8" fillId="2" borderId="0" xfId="0" applyNumberFormat="1" applyFont="1" applyFill="1" applyBorder="1" applyAlignment="1" applyProtection="1">
      <alignment horizontal="center" vertical="center" shrinkToFit="1"/>
    </xf>
    <xf numFmtId="0" fontId="1" fillId="0" borderId="31" xfId="0" applyFont="1" applyBorder="1" applyAlignment="1" applyProtection="1">
      <alignment vertical="center" shrinkToFit="1"/>
    </xf>
    <xf numFmtId="0" fontId="4" fillId="0" borderId="11" xfId="0" applyNumberFormat="1" applyFont="1" applyBorder="1" applyAlignment="1" applyProtection="1">
      <alignment horizontal="center" vertical="center" shrinkToFit="1"/>
    </xf>
    <xf numFmtId="0" fontId="15" fillId="0" borderId="11" xfId="0" applyNumberFormat="1" applyFont="1" applyBorder="1" applyAlignment="1" applyProtection="1">
      <alignment horizontal="right" vertical="center" shrinkToFit="1"/>
    </xf>
    <xf numFmtId="0" fontId="4" fillId="0" borderId="11" xfId="0" applyNumberFormat="1" applyFont="1" applyBorder="1" applyAlignment="1" applyProtection="1">
      <alignment horizontal="left" vertical="center" shrinkToFit="1"/>
    </xf>
    <xf numFmtId="0" fontId="4" fillId="0" borderId="0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Alignment="1" applyProtection="1">
      <alignment vertical="center" shrinkToFit="1"/>
    </xf>
    <xf numFmtId="0" fontId="16" fillId="3" borderId="0" xfId="0" applyFont="1" applyFill="1" applyAlignment="1" applyProtection="1">
      <alignment vertical="top" shrinkToFit="1"/>
    </xf>
    <xf numFmtId="3" fontId="15" fillId="2" borderId="35" xfId="0" applyNumberFormat="1" applyFont="1" applyFill="1" applyBorder="1" applyAlignment="1" applyProtection="1">
      <alignment horizontal="center" vertical="center" shrinkToFit="1"/>
    </xf>
    <xf numFmtId="3" fontId="15" fillId="2" borderId="53" xfId="0" applyNumberFormat="1" applyFont="1" applyFill="1" applyBorder="1" applyAlignment="1" applyProtection="1">
      <alignment horizontal="center" vertical="center" shrinkToFit="1"/>
    </xf>
    <xf numFmtId="3" fontId="15" fillId="2" borderId="2" xfId="0" applyNumberFormat="1" applyFont="1" applyFill="1" applyBorder="1" applyAlignment="1" applyProtection="1">
      <alignment horizontal="center" vertical="center" shrinkToFit="1"/>
    </xf>
    <xf numFmtId="3" fontId="15" fillId="2" borderId="38" xfId="0" applyNumberFormat="1" applyFont="1" applyFill="1" applyBorder="1" applyAlignment="1" applyProtection="1">
      <alignment horizontal="center" vertical="center" shrinkToFit="1"/>
    </xf>
    <xf numFmtId="3" fontId="15" fillId="2" borderId="91" xfId="0" applyNumberFormat="1" applyFont="1" applyFill="1" applyBorder="1" applyAlignment="1" applyProtection="1">
      <alignment horizontal="center" vertical="center" shrinkToFit="1"/>
    </xf>
    <xf numFmtId="3" fontId="15" fillId="2" borderId="88" xfId="0" applyNumberFormat="1" applyFont="1" applyFill="1" applyBorder="1" applyAlignment="1" applyProtection="1">
      <alignment horizontal="center" vertical="center" shrinkToFit="1"/>
    </xf>
    <xf numFmtId="3" fontId="15" fillId="2" borderId="27" xfId="0" applyNumberFormat="1" applyFont="1" applyFill="1" applyBorder="1" applyAlignment="1" applyProtection="1">
      <alignment horizontal="center" vertical="center" shrinkToFit="1"/>
    </xf>
    <xf numFmtId="3" fontId="15" fillId="2" borderId="70" xfId="0" applyNumberFormat="1" applyFont="1" applyFill="1" applyBorder="1" applyAlignment="1" applyProtection="1">
      <alignment horizontal="center" vertical="center" shrinkToFit="1"/>
    </xf>
    <xf numFmtId="3" fontId="15" fillId="2" borderId="1" xfId="0" applyNumberFormat="1" applyFont="1" applyFill="1" applyBorder="1" applyAlignment="1" applyProtection="1">
      <alignment horizontal="center" vertical="center" shrinkToFit="1"/>
    </xf>
    <xf numFmtId="49" fontId="4" fillId="2" borderId="69" xfId="0" applyNumberFormat="1" applyFont="1" applyFill="1" applyBorder="1" applyAlignment="1" applyProtection="1">
      <alignment horizontal="center" vertical="center" shrinkToFit="1"/>
    </xf>
    <xf numFmtId="3" fontId="15" fillId="2" borderId="61" xfId="0" applyNumberFormat="1" applyFont="1" applyFill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shrinkToFit="1"/>
    </xf>
    <xf numFmtId="0" fontId="0" fillId="0" borderId="0" xfId="0" applyAlignment="1" applyProtection="1">
      <alignment horizont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shrinkToFit="1"/>
    </xf>
    <xf numFmtId="0" fontId="6" fillId="0" borderId="16" xfId="0" applyFont="1" applyBorder="1" applyAlignment="1" applyProtection="1">
      <alignment horizontal="center" shrinkToFit="1"/>
    </xf>
    <xf numFmtId="0" fontId="6" fillId="0" borderId="65" xfId="0" applyFont="1" applyBorder="1" applyAlignment="1" applyProtection="1">
      <alignment horizontal="center" shrinkToFit="1"/>
    </xf>
    <xf numFmtId="3" fontId="19" fillId="0" borderId="0" xfId="1" applyNumberFormat="1" applyFont="1" applyBorder="1" applyAlignment="1" applyProtection="1">
      <alignment horizontal="center" vertical="center" wrapText="1"/>
    </xf>
    <xf numFmtId="0" fontId="26" fillId="0" borderId="0" xfId="2" applyProtection="1"/>
    <xf numFmtId="0" fontId="26" fillId="3" borderId="0" xfId="2" applyFill="1" applyProtection="1"/>
    <xf numFmtId="0" fontId="30" fillId="0" borderId="0" xfId="0" applyFont="1" applyAlignment="1" applyProtection="1">
      <alignment shrinkToFit="1"/>
    </xf>
    <xf numFmtId="0" fontId="32" fillId="0" borderId="0" xfId="0" applyFont="1" applyAlignment="1" applyProtection="1">
      <alignment vertical="center" shrinkToFit="1"/>
    </xf>
    <xf numFmtId="0" fontId="32" fillId="0" borderId="0" xfId="0" applyFont="1" applyAlignment="1" applyProtection="1">
      <alignment shrinkToFit="1"/>
    </xf>
    <xf numFmtId="0" fontId="32" fillId="0" borderId="0" xfId="0" applyFont="1" applyAlignment="1" applyProtection="1">
      <alignment vertical="top" shrinkToFit="1"/>
    </xf>
    <xf numFmtId="0" fontId="32" fillId="0" borderId="0" xfId="0" applyNumberFormat="1" applyFont="1" applyAlignment="1" applyProtection="1">
      <alignment vertical="center" shrinkToFit="1"/>
    </xf>
    <xf numFmtId="0" fontId="34" fillId="0" borderId="0" xfId="0" applyFont="1" applyAlignment="1" applyProtection="1">
      <alignment vertical="center" shrinkToFit="1"/>
    </xf>
    <xf numFmtId="3" fontId="35" fillId="0" borderId="0" xfId="0" applyNumberFormat="1" applyFont="1" applyBorder="1" applyAlignment="1" applyProtection="1">
      <alignment vertical="center"/>
    </xf>
    <xf numFmtId="3" fontId="35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shrinkToFit="1"/>
    </xf>
    <xf numFmtId="0" fontId="0" fillId="0" borderId="31" xfId="0" applyBorder="1" applyAlignment="1" applyProtection="1">
      <alignment vertical="center" shrinkToFit="1"/>
    </xf>
    <xf numFmtId="3" fontId="15" fillId="5" borderId="68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3" fontId="15" fillId="2" borderId="68" xfId="0" applyNumberFormat="1" applyFont="1" applyFill="1" applyBorder="1" applyAlignment="1" applyProtection="1">
      <alignment horizontal="center" vertical="center" shrinkToFit="1"/>
    </xf>
    <xf numFmtId="3" fontId="15" fillId="2" borderId="26" xfId="0" applyNumberFormat="1" applyFont="1" applyFill="1" applyBorder="1" applyAlignment="1" applyProtection="1">
      <alignment horizontal="center" vertical="center" shrinkToFit="1"/>
    </xf>
    <xf numFmtId="3" fontId="8" fillId="7" borderId="5" xfId="0" applyNumberFormat="1" applyFont="1" applyFill="1" applyBorder="1" applyAlignment="1" applyProtection="1">
      <alignment horizontal="center" vertical="center" shrinkToFit="1"/>
      <protection locked="0"/>
    </xf>
    <xf numFmtId="3" fontId="8" fillId="7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1" xfId="0" applyFont="1" applyFill="1" applyBorder="1" applyAlignment="1" applyProtection="1">
      <alignment horizontal="center" vertical="center" shrinkToFit="1"/>
    </xf>
    <xf numFmtId="0" fontId="8" fillId="7" borderId="1" xfId="0" applyFont="1" applyFill="1" applyBorder="1" applyAlignment="1" applyProtection="1">
      <alignment horizontal="center" vertical="center" shrinkToFit="1"/>
      <protection locked="0"/>
    </xf>
    <xf numFmtId="3" fontId="8" fillId="7" borderId="62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4" xfId="0" applyNumberFormat="1" applyFont="1" applyFill="1" applyBorder="1" applyAlignment="1" applyProtection="1">
      <alignment horizontal="center" vertical="center" shrinkToFit="1"/>
    </xf>
    <xf numFmtId="3" fontId="8" fillId="0" borderId="62" xfId="0" applyNumberFormat="1" applyFont="1" applyFill="1" applyBorder="1" applyAlignment="1" applyProtection="1">
      <alignment horizontal="center" vertical="center" shrinkToFit="1"/>
    </xf>
    <xf numFmtId="3" fontId="8" fillId="0" borderId="5" xfId="0" applyNumberFormat="1" applyFont="1" applyFill="1" applyBorder="1" applyAlignment="1" applyProtection="1">
      <alignment horizontal="center" vertical="center" shrinkToFit="1"/>
    </xf>
    <xf numFmtId="3" fontId="15" fillId="7" borderId="5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20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62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60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6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9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23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7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right" vertical="center" shrinkToFit="1"/>
    </xf>
    <xf numFmtId="3" fontId="36" fillId="2" borderId="5" xfId="0" applyNumberFormat="1" applyFont="1" applyFill="1" applyBorder="1" applyAlignment="1" applyProtection="1">
      <alignment horizontal="center" vertical="center" shrinkToFit="1"/>
    </xf>
    <xf numFmtId="3" fontId="36" fillId="2" borderId="36" xfId="0" applyNumberFormat="1" applyFont="1" applyFill="1" applyBorder="1" applyAlignment="1" applyProtection="1">
      <alignment horizontal="center" vertical="center" shrinkToFit="1"/>
    </xf>
    <xf numFmtId="3" fontId="36" fillId="2" borderId="4" xfId="0" applyNumberFormat="1" applyFont="1" applyFill="1" applyBorder="1" applyAlignment="1" applyProtection="1">
      <alignment horizontal="center" vertical="center" shrinkToFit="1"/>
    </xf>
    <xf numFmtId="3" fontId="36" fillId="2" borderId="32" xfId="0" applyNumberFormat="1" applyFont="1" applyFill="1" applyBorder="1" applyAlignment="1" applyProtection="1">
      <alignment horizontal="center" vertical="center" shrinkToFit="1"/>
    </xf>
    <xf numFmtId="3" fontId="36" fillId="2" borderId="6" xfId="0" applyNumberFormat="1" applyFont="1" applyFill="1" applyBorder="1" applyAlignment="1" applyProtection="1">
      <alignment horizontal="center" vertical="center" shrinkToFit="1"/>
    </xf>
    <xf numFmtId="3" fontId="36" fillId="2" borderId="35" xfId="0" applyNumberFormat="1" applyFont="1" applyFill="1" applyBorder="1" applyAlignment="1" applyProtection="1">
      <alignment horizontal="center" vertical="center" shrinkToFit="1"/>
    </xf>
    <xf numFmtId="3" fontId="36" fillId="2" borderId="28" xfId="0" applyNumberFormat="1" applyFont="1" applyFill="1" applyBorder="1" applyAlignment="1" applyProtection="1">
      <alignment horizontal="center" vertical="center" shrinkToFit="1"/>
    </xf>
    <xf numFmtId="3" fontId="36" fillId="2" borderId="27" xfId="0" applyNumberFormat="1" applyFont="1" applyFill="1" applyBorder="1" applyAlignment="1" applyProtection="1">
      <alignment horizontal="center" vertical="center" shrinkToFit="1"/>
    </xf>
    <xf numFmtId="0" fontId="37" fillId="3" borderId="0" xfId="2" applyFont="1" applyFill="1" applyProtection="1"/>
    <xf numFmtId="0" fontId="37" fillId="0" borderId="0" xfId="2" applyFont="1" applyProtection="1"/>
    <xf numFmtId="0" fontId="40" fillId="0" borderId="0" xfId="0" applyNumberFormat="1" applyFont="1" applyAlignment="1" applyProtection="1">
      <alignment vertical="center" shrinkToFit="1"/>
    </xf>
    <xf numFmtId="3" fontId="38" fillId="0" borderId="8" xfId="1" applyNumberFormat="1" applyFont="1" applyBorder="1" applyAlignment="1" applyProtection="1">
      <alignment horizontal="right" vertical="center" shrinkToFit="1"/>
    </xf>
    <xf numFmtId="3" fontId="38" fillId="0" borderId="60" xfId="1" applyNumberFormat="1" applyFont="1" applyBorder="1" applyAlignment="1" applyProtection="1">
      <alignment horizontal="right" vertical="center" shrinkToFit="1"/>
    </xf>
    <xf numFmtId="3" fontId="38" fillId="0" borderId="94" xfId="1" applyNumberFormat="1" applyFont="1" applyBorder="1" applyAlignment="1" applyProtection="1">
      <alignment horizontal="right" vertical="center" shrinkToFit="1"/>
    </xf>
    <xf numFmtId="3" fontId="38" fillId="0" borderId="62" xfId="1" applyNumberFormat="1" applyFont="1" applyBorder="1" applyAlignment="1" applyProtection="1">
      <alignment horizontal="right" vertical="center" shrinkToFit="1"/>
    </xf>
    <xf numFmtId="3" fontId="38" fillId="0" borderId="8" xfId="1" applyNumberFormat="1" applyFont="1" applyBorder="1" applyAlignment="1" applyProtection="1">
      <alignment horizontal="right" vertical="center" wrapText="1"/>
    </xf>
    <xf numFmtId="0" fontId="41" fillId="3" borderId="0" xfId="2" applyFont="1" applyFill="1" applyAlignment="1" applyProtection="1">
      <alignment horizontal="right"/>
    </xf>
    <xf numFmtId="0" fontId="41" fillId="0" borderId="0" xfId="2" applyFont="1" applyAlignment="1" applyProtection="1">
      <alignment horizontal="right"/>
    </xf>
    <xf numFmtId="0" fontId="17" fillId="4" borderId="1" xfId="0" applyNumberFormat="1" applyFont="1" applyFill="1" applyBorder="1" applyAlignment="1" applyProtection="1">
      <alignment horizontal="center" vertical="center" shrinkToFit="1"/>
    </xf>
    <xf numFmtId="1" fontId="17" fillId="0" borderId="4" xfId="1" applyNumberFormat="1" applyFont="1" applyBorder="1" applyAlignment="1" applyProtection="1">
      <alignment horizontal="center" vertical="center" shrinkToFit="1"/>
    </xf>
    <xf numFmtId="1" fontId="17" fillId="0" borderId="62" xfId="1" applyNumberFormat="1" applyFont="1" applyBorder="1" applyAlignment="1" applyProtection="1">
      <alignment horizontal="center" vertical="center" shrinkToFit="1"/>
    </xf>
    <xf numFmtId="1" fontId="17" fillId="0" borderId="5" xfId="1" applyNumberFormat="1" applyFont="1" applyBorder="1" applyAlignment="1" applyProtection="1">
      <alignment horizontal="center" vertical="center" shrinkToFit="1"/>
    </xf>
    <xf numFmtId="1" fontId="17" fillId="0" borderId="63" xfId="1" applyNumberFormat="1" applyFont="1" applyBorder="1" applyAlignment="1" applyProtection="1">
      <alignment horizontal="center" vertical="center" shrinkToFit="1"/>
    </xf>
    <xf numFmtId="1" fontId="41" fillId="3" borderId="0" xfId="2" applyNumberFormat="1" applyFont="1" applyFill="1" applyAlignment="1" applyProtection="1">
      <alignment shrinkToFit="1"/>
    </xf>
    <xf numFmtId="0" fontId="41" fillId="3" borderId="0" xfId="2" applyFont="1" applyFill="1" applyAlignment="1" applyProtection="1">
      <alignment shrinkToFit="1"/>
    </xf>
    <xf numFmtId="0" fontId="41" fillId="0" borderId="0" xfId="2" applyFont="1" applyAlignment="1" applyProtection="1">
      <alignment shrinkToFit="1"/>
    </xf>
    <xf numFmtId="1" fontId="15" fillId="0" borderId="22" xfId="0" applyNumberFormat="1" applyFont="1" applyFill="1" applyBorder="1" applyAlignment="1" applyProtection="1">
      <alignment horizontal="center" vertical="center" shrinkToFit="1"/>
    </xf>
    <xf numFmtId="3" fontId="43" fillId="3" borderId="0" xfId="1" applyNumberFormat="1" applyFont="1" applyFill="1" applyAlignment="1" applyProtection="1">
      <alignment horizontal="right" vertical="center"/>
    </xf>
    <xf numFmtId="3" fontId="43" fillId="3" borderId="0" xfId="1" applyNumberFormat="1" applyFont="1" applyFill="1" applyAlignment="1" applyProtection="1">
      <alignment vertical="center"/>
    </xf>
    <xf numFmtId="3" fontId="44" fillId="3" borderId="0" xfId="1" applyNumberFormat="1" applyFont="1" applyFill="1" applyAlignment="1" applyProtection="1">
      <alignment vertical="center"/>
    </xf>
    <xf numFmtId="0" fontId="45" fillId="0" borderId="0" xfId="0" applyFont="1" applyProtection="1"/>
    <xf numFmtId="3" fontId="43" fillId="3" borderId="0" xfId="1" applyNumberFormat="1" applyFont="1" applyFill="1" applyAlignment="1" applyProtection="1">
      <alignment horizontal="center" vertical="center"/>
    </xf>
    <xf numFmtId="3" fontId="44" fillId="3" borderId="0" xfId="1" applyNumberFormat="1" applyFont="1" applyFill="1" applyAlignment="1" applyProtection="1">
      <alignment horizontal="center" vertical="center"/>
    </xf>
    <xf numFmtId="0" fontId="43" fillId="0" borderId="0" xfId="2" applyFont="1" applyAlignment="1" applyProtection="1">
      <alignment horizontal="right"/>
    </xf>
    <xf numFmtId="0" fontId="43" fillId="0" borderId="0" xfId="2" applyFont="1" applyProtection="1"/>
    <xf numFmtId="0" fontId="46" fillId="0" borderId="0" xfId="2" applyFont="1" applyProtection="1"/>
    <xf numFmtId="0" fontId="45" fillId="0" borderId="0" xfId="2" applyFont="1" applyBorder="1" applyAlignment="1" applyProtection="1">
      <alignment horizontal="right"/>
    </xf>
    <xf numFmtId="0" fontId="45" fillId="0" borderId="0" xfId="2" applyFont="1" applyAlignment="1" applyProtection="1">
      <alignment horizontal="right"/>
    </xf>
    <xf numFmtId="0" fontId="45" fillId="0" borderId="0" xfId="2" applyFont="1" applyProtection="1"/>
    <xf numFmtId="0" fontId="47" fillId="0" borderId="0" xfId="2" applyFont="1" applyProtection="1"/>
    <xf numFmtId="3" fontId="48" fillId="0" borderId="0" xfId="0" applyNumberFormat="1" applyFont="1" applyBorder="1" applyAlignment="1" applyProtection="1">
      <alignment horizontal="right" vertical="center" shrinkToFit="1"/>
    </xf>
    <xf numFmtId="0" fontId="36" fillId="0" borderId="0" xfId="2" applyFont="1" applyProtection="1"/>
    <xf numFmtId="0" fontId="45" fillId="0" borderId="0" xfId="0" applyFont="1" applyAlignment="1" applyProtection="1">
      <alignment horizontal="right"/>
    </xf>
    <xf numFmtId="0" fontId="48" fillId="0" borderId="0" xfId="0" applyNumberFormat="1" applyFont="1" applyAlignment="1" applyProtection="1">
      <alignment vertical="center" shrinkToFit="1"/>
    </xf>
    <xf numFmtId="0" fontId="29" fillId="0" borderId="0" xfId="0" applyFont="1" applyAlignment="1" applyProtection="1">
      <alignment horizontal="right" vertical="center" shrinkToFit="1"/>
    </xf>
    <xf numFmtId="0" fontId="5" fillId="0" borderId="0" xfId="0" applyFont="1" applyAlignment="1" applyProtection="1">
      <alignment shrinkToFit="1"/>
    </xf>
    <xf numFmtId="0" fontId="5" fillId="0" borderId="31" xfId="0" applyFont="1" applyBorder="1" applyAlignment="1" applyProtection="1">
      <alignment shrinkToFit="1"/>
    </xf>
    <xf numFmtId="0" fontId="4" fillId="2" borderId="67" xfId="0" applyNumberFormat="1" applyFont="1" applyFill="1" applyBorder="1" applyAlignment="1" applyProtection="1">
      <alignment horizontal="center" vertical="center" shrinkToFit="1"/>
    </xf>
    <xf numFmtId="3" fontId="15" fillId="2" borderId="71" xfId="0" applyNumberFormat="1" applyFont="1" applyFill="1" applyBorder="1" applyAlignment="1" applyProtection="1">
      <alignment horizontal="center" vertical="center" shrinkToFit="1"/>
    </xf>
    <xf numFmtId="0" fontId="33" fillId="0" borderId="0" xfId="0" applyNumberFormat="1" applyFont="1" applyAlignment="1" applyProtection="1">
      <alignment vertical="center" shrinkToFit="1"/>
    </xf>
    <xf numFmtId="0" fontId="33" fillId="0" borderId="0" xfId="0" applyFont="1" applyAlignment="1" applyProtection="1">
      <alignment shrinkToFit="1"/>
    </xf>
    <xf numFmtId="0" fontId="33" fillId="0" borderId="0" xfId="0" applyFont="1" applyAlignment="1" applyProtection="1">
      <alignment horizontal="right" shrinkToFit="1"/>
    </xf>
    <xf numFmtId="0" fontId="33" fillId="0" borderId="0" xfId="0" applyFont="1" applyAlignment="1" applyProtection="1">
      <alignment horizontal="center" shrinkToFit="1"/>
    </xf>
    <xf numFmtId="0" fontId="52" fillId="0" borderId="0" xfId="0" applyFont="1" applyAlignment="1" applyProtection="1">
      <alignment vertical="top" shrinkToFit="1"/>
    </xf>
    <xf numFmtId="0" fontId="32" fillId="0" borderId="0" xfId="0" applyNumberFormat="1" applyFont="1" applyAlignment="1" applyProtection="1">
      <alignment vertical="top" shrinkToFit="1"/>
    </xf>
    <xf numFmtId="0" fontId="8" fillId="0" borderId="11" xfId="0" applyNumberFormat="1" applyFont="1" applyBorder="1" applyAlignment="1" applyProtection="1">
      <alignment horizontal="right" vertical="center" shrinkToFit="1"/>
    </xf>
    <xf numFmtId="3" fontId="15" fillId="7" borderId="7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47" xfId="0" applyNumberFormat="1" applyFont="1" applyFill="1" applyBorder="1" applyAlignment="1" applyProtection="1">
      <alignment horizontal="center" vertical="center" shrinkToFit="1"/>
    </xf>
    <xf numFmtId="3" fontId="54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 shrinkToFit="1"/>
    </xf>
    <xf numFmtId="3" fontId="55" fillId="0" borderId="0" xfId="0" applyNumberFormat="1" applyFont="1" applyAlignment="1">
      <alignment vertical="center"/>
    </xf>
    <xf numFmtId="1" fontId="17" fillId="0" borderId="3" xfId="0" applyNumberFormat="1" applyFont="1" applyBorder="1" applyAlignment="1">
      <alignment horizontal="right" vertical="center" shrinkToFit="1"/>
    </xf>
    <xf numFmtId="3" fontId="56" fillId="0" borderId="3" xfId="0" applyNumberFormat="1" applyFont="1" applyBorder="1" applyAlignment="1">
      <alignment vertical="center" shrinkToFit="1"/>
    </xf>
    <xf numFmtId="3" fontId="57" fillId="0" borderId="0" xfId="0" applyNumberFormat="1" applyFont="1" applyBorder="1" applyAlignment="1">
      <alignment vertical="center"/>
    </xf>
    <xf numFmtId="3" fontId="8" fillId="7" borderId="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right" vertical="center" shrinkToFit="1"/>
    </xf>
    <xf numFmtId="3" fontId="15" fillId="2" borderId="40" xfId="0" applyNumberFormat="1" applyFont="1" applyFill="1" applyBorder="1" applyAlignment="1" applyProtection="1">
      <alignment horizontal="center" vertical="center" shrinkToFit="1"/>
    </xf>
    <xf numFmtId="49" fontId="4" fillId="2" borderId="67" xfId="0" applyNumberFormat="1" applyFont="1" applyFill="1" applyBorder="1" applyAlignment="1" applyProtection="1">
      <alignment horizontal="center" vertical="center" shrinkToFit="1"/>
    </xf>
    <xf numFmtId="49" fontId="4" fillId="2" borderId="68" xfId="0" applyNumberFormat="1" applyFont="1" applyFill="1" applyBorder="1" applyAlignment="1" applyProtection="1">
      <alignment horizontal="center" vertical="center" shrinkToFit="1"/>
    </xf>
    <xf numFmtId="3" fontId="15" fillId="2" borderId="70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3" fontId="15" fillId="7" borderId="7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7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4" fillId="0" borderId="31" xfId="0" applyFont="1" applyBorder="1" applyAlignment="1" applyProtection="1">
      <alignment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32" fillId="0" borderId="0" xfId="0" applyFont="1" applyBorder="1" applyAlignment="1" applyProtection="1">
      <alignment shrinkToFit="1"/>
    </xf>
    <xf numFmtId="0" fontId="59" fillId="0" borderId="0" xfId="0" applyFont="1" applyAlignment="1" applyProtection="1">
      <alignment vertical="top" shrinkToFit="1"/>
    </xf>
    <xf numFmtId="0" fontId="4" fillId="0" borderId="0" xfId="0" applyNumberFormat="1" applyFont="1" applyAlignment="1" applyProtection="1">
      <alignment horizontal="center" vertical="top" shrinkToFit="1"/>
    </xf>
    <xf numFmtId="0" fontId="4" fillId="0" borderId="0" xfId="0" applyNumberFormat="1" applyFont="1" applyAlignment="1" applyProtection="1">
      <alignment vertical="top" shrinkToFit="1"/>
    </xf>
    <xf numFmtId="0" fontId="4" fillId="0" borderId="0" xfId="0" applyNumberFormat="1" applyFont="1" applyAlignment="1" applyProtection="1">
      <alignment horizontal="right" vertical="top" shrinkToFit="1"/>
    </xf>
    <xf numFmtId="0" fontId="4" fillId="0" borderId="0" xfId="0" applyNumberFormat="1" applyFont="1" applyBorder="1" applyAlignment="1" applyProtection="1">
      <alignment vertical="top" shrinkToFit="1"/>
    </xf>
    <xf numFmtId="0" fontId="5" fillId="0" borderId="0" xfId="0" applyNumberFormat="1" applyFont="1" applyAlignment="1" applyProtection="1">
      <alignment vertical="top" shrinkToFit="1"/>
    </xf>
    <xf numFmtId="0" fontId="4" fillId="0" borderId="55" xfId="0" applyFont="1" applyBorder="1" applyAlignment="1" applyProtection="1">
      <alignment horizontal="center" vertical="top" shrinkToFit="1"/>
    </xf>
    <xf numFmtId="0" fontId="4" fillId="0" borderId="64" xfId="0" applyFont="1" applyBorder="1" applyAlignment="1" applyProtection="1">
      <alignment horizontal="center" vertical="top" shrinkToFit="1"/>
    </xf>
    <xf numFmtId="0" fontId="4" fillId="0" borderId="64" xfId="0" applyFont="1" applyBorder="1" applyAlignment="1" applyProtection="1">
      <alignment horizontal="center" vertical="center" shrinkToFit="1"/>
    </xf>
    <xf numFmtId="0" fontId="4" fillId="0" borderId="65" xfId="0" applyFont="1" applyBorder="1" applyAlignment="1" applyProtection="1">
      <alignment horizontal="center" vertical="center" shrinkToFit="1"/>
    </xf>
    <xf numFmtId="0" fontId="32" fillId="0" borderId="0" xfId="0" applyFont="1" applyAlignment="1" applyProtection="1">
      <alignment horizontal="center" vertical="top" shrinkToFit="1"/>
    </xf>
    <xf numFmtId="0" fontId="5" fillId="0" borderId="0" xfId="0" applyFont="1" applyAlignment="1" applyProtection="1">
      <alignment horizontal="center" vertical="top" shrinkToFit="1"/>
    </xf>
    <xf numFmtId="1" fontId="15" fillId="7" borderId="39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3" xfId="0" applyNumberFormat="1" applyFont="1" applyBorder="1" applyAlignment="1" applyProtection="1">
      <alignment horizontal="center" vertical="center" shrinkToFit="1"/>
    </xf>
    <xf numFmtId="3" fontId="15" fillId="2" borderId="7" xfId="0" applyNumberFormat="1" applyFont="1" applyFill="1" applyBorder="1" applyAlignment="1" applyProtection="1">
      <alignment horizontal="center" vertical="center" shrinkToFit="1"/>
    </xf>
    <xf numFmtId="3" fontId="15" fillId="7" borderId="38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0" xfId="0" applyNumberFormat="1" applyFont="1" applyFill="1" applyBorder="1" applyAlignment="1" applyProtection="1">
      <alignment horizontal="center" vertical="center" shrinkToFit="1"/>
    </xf>
    <xf numFmtId="1" fontId="15" fillId="7" borderId="51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4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8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32" xfId="0" applyNumberFormat="1" applyFont="1" applyFill="1" applyBorder="1" applyAlignment="1" applyProtection="1">
      <alignment horizontal="center" vertical="center" shrinkToFit="1"/>
      <protection locked="0"/>
    </xf>
    <xf numFmtId="1" fontId="15" fillId="7" borderId="22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35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0" xfId="0" applyNumberFormat="1" applyFont="1" applyBorder="1" applyAlignment="1" applyProtection="1">
      <alignment horizontal="center" vertical="center" shrinkToFit="1"/>
    </xf>
    <xf numFmtId="3" fontId="15" fillId="2" borderId="62" xfId="0" applyNumberFormat="1" applyFont="1" applyFill="1" applyBorder="1" applyAlignment="1" applyProtection="1">
      <alignment horizontal="center" vertical="center" shrinkToFit="1"/>
    </xf>
    <xf numFmtId="3" fontId="15" fillId="7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shrinkToFit="1"/>
    </xf>
    <xf numFmtId="0" fontId="32" fillId="2" borderId="0" xfId="0" applyFont="1" applyFill="1" applyAlignment="1" applyProtection="1">
      <alignment shrinkToFit="1"/>
    </xf>
    <xf numFmtId="0" fontId="4" fillId="0" borderId="55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32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3" fontId="15" fillId="7" borderId="63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87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Border="1" applyAlignment="1" applyProtection="1">
      <alignment horizontal="right" vertical="center" shrinkToFit="1"/>
    </xf>
    <xf numFmtId="0" fontId="4" fillId="0" borderId="0" xfId="0" applyNumberFormat="1" applyFont="1" applyBorder="1" applyAlignment="1" applyProtection="1">
      <alignment vertical="center" shrinkToFit="1"/>
    </xf>
    <xf numFmtId="0" fontId="4" fillId="0" borderId="0" xfId="0" applyNumberFormat="1" applyFont="1" applyAlignment="1" applyProtection="1">
      <alignment vertical="center" shrinkToFit="1"/>
    </xf>
    <xf numFmtId="3" fontId="15" fillId="0" borderId="7" xfId="0" applyNumberFormat="1" applyFont="1" applyFill="1" applyBorder="1" applyAlignment="1" applyProtection="1">
      <alignment horizontal="center" vertical="center" shrinkToFit="1"/>
    </xf>
    <xf numFmtId="3" fontId="15" fillId="2" borderId="23" xfId="0" applyNumberFormat="1" applyFont="1" applyFill="1" applyBorder="1" applyAlignment="1" applyProtection="1">
      <alignment horizontal="center" vertical="center" shrinkToFit="1"/>
    </xf>
    <xf numFmtId="3" fontId="15" fillId="0" borderId="4" xfId="0" applyNumberFormat="1" applyFont="1" applyFill="1" applyBorder="1" applyAlignment="1" applyProtection="1">
      <alignment horizontal="center" vertical="center" shrinkToFit="1"/>
    </xf>
    <xf numFmtId="3" fontId="15" fillId="0" borderId="62" xfId="0" applyNumberFormat="1" applyFont="1" applyFill="1" applyBorder="1" applyAlignment="1" applyProtection="1">
      <alignment horizontal="center" vertical="center" shrinkToFit="1"/>
    </xf>
    <xf numFmtId="3" fontId="15" fillId="0" borderId="61" xfId="0" applyNumberFormat="1" applyFont="1" applyFill="1" applyBorder="1" applyAlignment="1" applyProtection="1">
      <alignment horizontal="center" vertical="center" shrinkToFit="1"/>
    </xf>
    <xf numFmtId="3" fontId="15" fillId="7" borderId="23" xfId="0" applyNumberFormat="1" applyFont="1" applyFill="1" applyBorder="1" applyAlignment="1" applyProtection="1">
      <alignment horizontal="center" vertical="center" shrinkToFit="1"/>
    </xf>
    <xf numFmtId="3" fontId="15" fillId="7" borderId="7" xfId="0" applyNumberFormat="1" applyFont="1" applyFill="1" applyBorder="1" applyAlignment="1" applyProtection="1">
      <alignment horizontal="center" vertical="center" shrinkToFit="1"/>
    </xf>
    <xf numFmtId="3" fontId="15" fillId="7" borderId="60" xfId="0" applyNumberFormat="1" applyFont="1" applyFill="1" applyBorder="1" applyAlignment="1" applyProtection="1">
      <alignment horizontal="center" vertical="center" shrinkToFit="1"/>
    </xf>
    <xf numFmtId="3" fontId="15" fillId="7" borderId="62" xfId="0" applyNumberFormat="1" applyFont="1" applyFill="1" applyBorder="1" applyAlignment="1" applyProtection="1">
      <alignment horizontal="center" vertical="center" shrinkToFit="1"/>
    </xf>
    <xf numFmtId="3" fontId="15" fillId="7" borderId="39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51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22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top" shrinkToFit="1"/>
    </xf>
    <xf numFmtId="0" fontId="62" fillId="3" borderId="0" xfId="0" applyFont="1" applyFill="1" applyAlignment="1" applyProtection="1">
      <alignment vertical="top" shrinkToFit="1"/>
    </xf>
    <xf numFmtId="0" fontId="4" fillId="0" borderId="11" xfId="0" applyNumberFormat="1" applyFont="1" applyBorder="1" applyAlignment="1" applyProtection="1">
      <alignment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73" xfId="0" applyFont="1" applyBorder="1" applyAlignment="1" applyProtection="1">
      <alignment horizontal="center" vertical="center" shrinkToFit="1"/>
    </xf>
    <xf numFmtId="3" fontId="15" fillId="2" borderId="31" xfId="0" applyNumberFormat="1" applyFont="1" applyFill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89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9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left" vertical="top" shrinkToFit="1"/>
    </xf>
    <xf numFmtId="0" fontId="5" fillId="0" borderId="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horizontal="right" vertical="top" shrinkToFit="1"/>
    </xf>
    <xf numFmtId="0" fontId="15" fillId="7" borderId="39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51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top" shrinkToFit="1"/>
    </xf>
    <xf numFmtId="0" fontId="4" fillId="0" borderId="12" xfId="0" applyFont="1" applyBorder="1" applyAlignment="1" applyProtection="1">
      <alignment vertical="center" shrinkToFit="1"/>
    </xf>
    <xf numFmtId="0" fontId="14" fillId="0" borderId="11" xfId="0" applyNumberFormat="1" applyFont="1" applyBorder="1" applyAlignment="1" applyProtection="1">
      <alignment horizontal="right" vertical="center" shrinkToFit="1"/>
      <protection locked="0"/>
    </xf>
    <xf numFmtId="0" fontId="15" fillId="0" borderId="11" xfId="0" applyNumberFormat="1" applyFont="1" applyBorder="1" applyAlignment="1" applyProtection="1">
      <alignment horizontal="right" vertical="top" shrinkToFit="1"/>
    </xf>
    <xf numFmtId="0" fontId="4" fillId="0" borderId="11" xfId="0" applyNumberFormat="1" applyFont="1" applyBorder="1" applyAlignment="1" applyProtection="1">
      <alignment horizontal="center" vertical="top" shrinkToFit="1"/>
    </xf>
    <xf numFmtId="3" fontId="15" fillId="0" borderId="23" xfId="0" applyNumberFormat="1" applyFont="1" applyFill="1" applyBorder="1" applyAlignment="1" applyProtection="1">
      <alignment horizontal="center" vertical="center" shrinkToFit="1"/>
    </xf>
    <xf numFmtId="3" fontId="15" fillId="0" borderId="60" xfId="0" applyNumberFormat="1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right" vertical="center" shrinkToFit="1"/>
    </xf>
    <xf numFmtId="0" fontId="4" fillId="0" borderId="24" xfId="0" applyFont="1" applyBorder="1" applyAlignment="1" applyProtection="1">
      <alignment horizontal="center" vertical="top" shrinkToFit="1"/>
    </xf>
    <xf numFmtId="3" fontId="15" fillId="0" borderId="5" xfId="0" applyNumberFormat="1" applyFont="1" applyFill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top" shrinkToFit="1"/>
    </xf>
    <xf numFmtId="0" fontId="4" fillId="0" borderId="22" xfId="0" applyFont="1" applyBorder="1" applyAlignment="1" applyProtection="1">
      <alignment horizontal="center" vertical="top" shrinkToFit="1"/>
    </xf>
    <xf numFmtId="0" fontId="4" fillId="0" borderId="50" xfId="0" applyFont="1" applyBorder="1" applyAlignment="1" applyProtection="1">
      <alignment horizontal="center" vertical="top" shrinkToFit="1"/>
    </xf>
    <xf numFmtId="0" fontId="4" fillId="0" borderId="0" xfId="0" applyNumberFormat="1" applyFont="1" applyBorder="1" applyAlignment="1" applyProtection="1">
      <alignment horizontal="left" vertical="center" shrinkToFit="1"/>
    </xf>
    <xf numFmtId="0" fontId="4" fillId="0" borderId="0" xfId="0" applyNumberFormat="1" applyFont="1" applyAlignment="1" applyProtection="1">
      <alignment horizontal="left" vertical="center" shrinkToFit="1"/>
    </xf>
    <xf numFmtId="0" fontId="4" fillId="0" borderId="0" xfId="0" applyNumberFormat="1" applyFont="1" applyAlignment="1" applyProtection="1">
      <alignment horizontal="right" vertical="center" shrinkToFit="1"/>
    </xf>
    <xf numFmtId="0" fontId="14" fillId="0" borderId="11" xfId="0" applyNumberFormat="1" applyFont="1" applyBorder="1" applyAlignment="1" applyProtection="1">
      <alignment horizontal="right" vertical="center" shrinkToFit="1"/>
    </xf>
    <xf numFmtId="0" fontId="15" fillId="2" borderId="39" xfId="0" applyNumberFormat="1" applyFont="1" applyFill="1" applyBorder="1" applyAlignment="1" applyProtection="1">
      <alignment horizontal="center" vertical="center" shrinkToFit="1"/>
    </xf>
    <xf numFmtId="0" fontId="15" fillId="2" borderId="22" xfId="0" applyNumberFormat="1" applyFont="1" applyFill="1" applyBorder="1" applyAlignment="1" applyProtection="1">
      <alignment horizontal="center" vertical="center" shrinkToFit="1"/>
    </xf>
    <xf numFmtId="0" fontId="15" fillId="2" borderId="51" xfId="0" applyNumberFormat="1" applyFont="1" applyFill="1" applyBorder="1" applyAlignment="1" applyProtection="1">
      <alignment horizontal="center" vertical="center" shrinkToFit="1"/>
    </xf>
    <xf numFmtId="0" fontId="62" fillId="3" borderId="0" xfId="0" applyFont="1" applyFill="1" applyAlignment="1" applyProtection="1">
      <alignment shrinkToFit="1"/>
    </xf>
    <xf numFmtId="0" fontId="4" fillId="0" borderId="0" xfId="0" applyFont="1" applyAlignment="1" applyProtection="1">
      <alignment shrinkToFit="1"/>
    </xf>
    <xf numFmtId="0" fontId="4" fillId="0" borderId="52" xfId="0" applyFont="1" applyBorder="1" applyAlignment="1" applyProtection="1">
      <alignment horizontal="center" vertical="top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left" shrinkToFit="1"/>
    </xf>
    <xf numFmtId="0" fontId="42" fillId="0" borderId="0" xfId="0" applyNumberFormat="1" applyFont="1" applyAlignment="1" applyProtection="1">
      <alignment horizontal="center" vertical="top" shrinkToFit="1"/>
    </xf>
    <xf numFmtId="0" fontId="42" fillId="0" borderId="11" xfId="0" applyNumberFormat="1" applyFont="1" applyBorder="1" applyAlignment="1" applyProtection="1">
      <alignment horizontal="center" vertical="center" shrinkToFit="1"/>
    </xf>
    <xf numFmtId="0" fontId="42" fillId="0" borderId="55" xfId="0" applyFont="1" applyBorder="1" applyAlignment="1" applyProtection="1">
      <alignment horizontal="center" vertical="center" shrinkToFit="1"/>
    </xf>
    <xf numFmtId="0" fontId="42" fillId="0" borderId="52" xfId="0" applyFont="1" applyBorder="1" applyAlignment="1" applyProtection="1">
      <alignment horizontal="center" vertical="top" shrinkToFit="1"/>
    </xf>
    <xf numFmtId="0" fontId="42" fillId="0" borderId="30" xfId="0" applyFont="1" applyBorder="1" applyAlignment="1" applyProtection="1">
      <alignment horizontal="center" vertical="top" shrinkToFit="1"/>
    </xf>
    <xf numFmtId="0" fontId="4" fillId="0" borderId="45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3" fontId="15" fillId="2" borderId="69" xfId="0" applyNumberFormat="1" applyFont="1" applyFill="1" applyBorder="1" applyAlignment="1" applyProtection="1">
      <alignment horizontal="center" vertical="center" shrinkToFit="1"/>
    </xf>
    <xf numFmtId="3" fontId="15" fillId="2" borderId="67" xfId="0" applyNumberFormat="1" applyFont="1" applyFill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top" shrinkToFit="1"/>
    </xf>
    <xf numFmtId="0" fontId="4" fillId="0" borderId="66" xfId="0" applyFont="1" applyBorder="1" applyAlignment="1" applyProtection="1">
      <alignment horizontal="center" vertical="top" shrinkToFit="1"/>
    </xf>
    <xf numFmtId="0" fontId="64" fillId="0" borderId="0" xfId="0" applyFont="1" applyAlignment="1" applyProtection="1">
      <alignment shrinkToFit="1"/>
    </xf>
    <xf numFmtId="0" fontId="64" fillId="0" borderId="0" xfId="0" applyFont="1" applyAlignment="1" applyProtection="1">
      <alignment vertical="center" shrinkToFit="1"/>
    </xf>
    <xf numFmtId="0" fontId="4" fillId="0" borderId="25" xfId="0" applyFont="1" applyBorder="1" applyAlignment="1" applyProtection="1">
      <alignment horizontal="center" shrinkToFit="1"/>
    </xf>
    <xf numFmtId="0" fontId="4" fillId="0" borderId="16" xfId="0" applyFont="1" applyBorder="1" applyAlignment="1" applyProtection="1">
      <alignment horizontal="center" shrinkToFit="1"/>
    </xf>
    <xf numFmtId="0" fontId="4" fillId="0" borderId="65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 shrinkToFit="1"/>
    </xf>
    <xf numFmtId="0" fontId="5" fillId="0" borderId="0" xfId="0" applyFont="1" applyAlignment="1" applyProtection="1">
      <alignment horizontal="center" shrinkToFit="1"/>
    </xf>
    <xf numFmtId="0" fontId="4" fillId="0" borderId="29" xfId="0" applyFont="1" applyBorder="1" applyAlignment="1" applyProtection="1">
      <alignment horizontal="center" vertical="top" shrinkToFit="1"/>
    </xf>
    <xf numFmtId="0" fontId="5" fillId="0" borderId="0" xfId="0" applyFont="1" applyBorder="1" applyAlignment="1" applyProtection="1">
      <alignment horizont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3" fontId="15" fillId="0" borderId="96" xfId="0" applyNumberFormat="1" applyFont="1" applyFill="1" applyBorder="1" applyAlignment="1" applyProtection="1">
      <alignment horizontal="center" vertical="center" shrinkToFit="1"/>
    </xf>
    <xf numFmtId="3" fontId="15" fillId="0" borderId="1" xfId="0" applyNumberFormat="1" applyFont="1" applyFill="1" applyBorder="1" applyAlignment="1" applyProtection="1">
      <alignment horizontal="center" vertical="center" shrinkToFit="1"/>
    </xf>
    <xf numFmtId="0" fontId="14" fillId="7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4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4" fillId="0" borderId="51" xfId="0" applyFont="1" applyBorder="1" applyAlignment="1" applyProtection="1">
      <alignment horizontal="center" vertical="top" shrinkToFit="1"/>
    </xf>
    <xf numFmtId="0" fontId="4" fillId="0" borderId="63" xfId="0" applyFont="1" applyBorder="1" applyAlignment="1" applyProtection="1">
      <alignment horizontal="right" vertical="center" shrinkToFit="1"/>
    </xf>
    <xf numFmtId="0" fontId="4" fillId="0" borderId="62" xfId="0" applyFont="1" applyBorder="1" applyAlignment="1" applyProtection="1">
      <alignment horizontal="right" vertical="center" shrinkToFit="1"/>
    </xf>
    <xf numFmtId="0" fontId="5" fillId="0" borderId="31" xfId="0" applyFont="1" applyBorder="1" applyAlignment="1" applyProtection="1">
      <alignment vertical="top" shrinkToFit="1"/>
    </xf>
    <xf numFmtId="0" fontId="14" fillId="0" borderId="11" xfId="0" applyNumberFormat="1" applyFont="1" applyBorder="1" applyAlignment="1" applyProtection="1">
      <alignment horizontal="center" vertical="center" shrinkToFit="1"/>
    </xf>
    <xf numFmtId="0" fontId="15" fillId="7" borderId="11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/>
    <xf numFmtId="0" fontId="5" fillId="0" borderId="0" xfId="0" applyFont="1" applyProtection="1"/>
    <xf numFmtId="3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47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39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3" fontId="62" fillId="0" borderId="3" xfId="0" applyNumberFormat="1" applyFont="1" applyBorder="1" applyAlignment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left" vertical="center" shrinkToFit="1"/>
    </xf>
    <xf numFmtId="0" fontId="4" fillId="0" borderId="11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right" vertical="center" shrinkToFit="1"/>
    </xf>
    <xf numFmtId="3" fontId="15" fillId="7" borderId="84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 shrinkToFit="1"/>
    </xf>
    <xf numFmtId="3" fontId="15" fillId="7" borderId="8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60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40" xfId="0" applyNumberFormat="1" applyFont="1" applyFill="1" applyBorder="1" applyAlignment="1" applyProtection="1">
      <alignment horizontal="center" vertical="center" shrinkToFit="1"/>
    </xf>
    <xf numFmtId="0" fontId="4" fillId="0" borderId="11" xfId="0" applyNumberFormat="1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top" shrinkToFit="1"/>
    </xf>
    <xf numFmtId="3" fontId="15" fillId="2" borderId="60" xfId="0" applyNumberFormat="1" applyFont="1" applyFill="1" applyBorder="1" applyAlignment="1" applyProtection="1">
      <alignment horizontal="center" vertical="center" shrinkToFit="1"/>
    </xf>
    <xf numFmtId="0" fontId="15" fillId="0" borderId="11" xfId="0" applyNumberFormat="1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left" vertical="center" shrinkToFit="1"/>
    </xf>
    <xf numFmtId="0" fontId="65" fillId="0" borderId="0" xfId="0" applyFont="1" applyAlignment="1" applyProtection="1">
      <alignment vertical="top" shrinkToFit="1"/>
    </xf>
    <xf numFmtId="0" fontId="42" fillId="0" borderId="0" xfId="0" applyNumberFormat="1" applyFont="1" applyAlignment="1" applyProtection="1">
      <alignment vertical="center" shrinkToFit="1"/>
    </xf>
    <xf numFmtId="0" fontId="65" fillId="0" borderId="0" xfId="0" applyNumberFormat="1" applyFont="1" applyAlignment="1" applyProtection="1">
      <alignment vertical="center" shrinkToFit="1"/>
    </xf>
    <xf numFmtId="0" fontId="42" fillId="0" borderId="11" xfId="0" applyNumberFormat="1" applyFont="1" applyBorder="1" applyAlignment="1" applyProtection="1">
      <alignment horizontal="center" vertical="center" shrinkToFit="1"/>
    </xf>
    <xf numFmtId="0" fontId="36" fillId="0" borderId="11" xfId="0" applyNumberFormat="1" applyFont="1" applyBorder="1" applyAlignment="1" applyProtection="1">
      <alignment horizontal="right" vertical="center" shrinkToFit="1"/>
    </xf>
    <xf numFmtId="0" fontId="42" fillId="0" borderId="11" xfId="0" applyNumberFormat="1" applyFont="1" applyBorder="1" applyAlignment="1" applyProtection="1">
      <alignment horizontal="left" vertical="center" shrinkToFit="1"/>
    </xf>
    <xf numFmtId="0" fontId="66" fillId="0" borderId="11" xfId="0" applyNumberFormat="1" applyFont="1" applyBorder="1" applyAlignment="1" applyProtection="1">
      <alignment horizontal="right" vertical="top" shrinkToFit="1"/>
    </xf>
    <xf numFmtId="0" fontId="65" fillId="0" borderId="11" xfId="0" applyNumberFormat="1" applyFont="1" applyBorder="1" applyAlignment="1" applyProtection="1">
      <alignment vertical="center" shrinkToFit="1"/>
    </xf>
    <xf numFmtId="0" fontId="65" fillId="0" borderId="0" xfId="0" applyFont="1" applyAlignment="1" applyProtection="1">
      <alignment vertical="center" shrinkToFit="1"/>
    </xf>
    <xf numFmtId="0" fontId="65" fillId="0" borderId="3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right" shrinkToFit="1"/>
    </xf>
    <xf numFmtId="0" fontId="15" fillId="0" borderId="11" xfId="0" applyNumberFormat="1" applyFont="1" applyBorder="1" applyAlignment="1" applyProtection="1">
      <alignment vertical="center" shrinkToFit="1"/>
    </xf>
    <xf numFmtId="0" fontId="15" fillId="7" borderId="1" xfId="0" applyFont="1" applyFill="1" applyBorder="1" applyAlignment="1" applyProtection="1">
      <alignment horizontal="center" vertical="center" shrinkToFit="1"/>
    </xf>
    <xf numFmtId="0" fontId="15" fillId="7" borderId="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top" shrinkToFit="1"/>
    </xf>
    <xf numFmtId="3" fontId="15" fillId="2" borderId="32" xfId="0" applyNumberFormat="1" applyFont="1" applyFill="1" applyBorder="1" applyAlignment="1" applyProtection="1">
      <alignment horizontal="center" vertical="center" shrinkToFit="1"/>
    </xf>
    <xf numFmtId="3" fontId="15" fillId="2" borderId="54" xfId="0" applyNumberFormat="1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top" shrinkToFit="1"/>
    </xf>
    <xf numFmtId="3" fontId="15" fillId="2" borderId="28" xfId="0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right" shrinkToFit="1"/>
    </xf>
    <xf numFmtId="0" fontId="4" fillId="0" borderId="0" xfId="0" applyFont="1" applyBorder="1" applyAlignment="1" applyProtection="1">
      <alignment horizontal="left" shrinkToFit="1"/>
    </xf>
    <xf numFmtId="49" fontId="4" fillId="0" borderId="0" xfId="0" applyNumberFormat="1" applyFont="1" applyAlignment="1" applyProtection="1">
      <alignment horizontal="right" shrinkToFit="1"/>
    </xf>
    <xf numFmtId="49" fontId="15" fillId="0" borderId="11" xfId="0" applyNumberFormat="1" applyFont="1" applyBorder="1" applyAlignment="1" applyProtection="1">
      <alignment horizontal="right" vertical="center" shrinkToFit="1"/>
    </xf>
    <xf numFmtId="3" fontId="15" fillId="2" borderId="46" xfId="0" applyNumberFormat="1" applyFont="1" applyFill="1" applyBorder="1" applyAlignment="1" applyProtection="1">
      <alignment horizontal="center" vertical="center" shrinkToFit="1"/>
    </xf>
    <xf numFmtId="0" fontId="67" fillId="3" borderId="0" xfId="0" applyFont="1" applyFill="1" applyAlignment="1" applyProtection="1">
      <alignment vertical="top" shrinkToFit="1"/>
    </xf>
    <xf numFmtId="0" fontId="68" fillId="0" borderId="0" xfId="0" applyNumberFormat="1" applyFont="1" applyAlignment="1" applyProtection="1">
      <alignment vertical="center" shrinkToFit="1"/>
    </xf>
    <xf numFmtId="0" fontId="36" fillId="0" borderId="11" xfId="0" applyNumberFormat="1" applyFont="1" applyBorder="1" applyAlignment="1" applyProtection="1">
      <alignment vertical="center" shrinkToFit="1"/>
    </xf>
    <xf numFmtId="49" fontId="42" fillId="0" borderId="0" xfId="0" applyNumberFormat="1" applyFont="1" applyBorder="1" applyAlignment="1" applyProtection="1">
      <alignment horizontal="right" vertical="center" shrinkToFit="1"/>
    </xf>
    <xf numFmtId="0" fontId="42" fillId="0" borderId="0" xfId="0" applyFont="1" applyBorder="1" applyAlignment="1" applyProtection="1">
      <alignment horizontal="left" vertical="center" shrinkToFit="1"/>
    </xf>
    <xf numFmtId="49" fontId="42" fillId="0" borderId="0" xfId="0" applyNumberFormat="1" applyFont="1" applyAlignment="1" applyProtection="1">
      <alignment horizontal="right" vertical="center" shrinkToFit="1"/>
    </xf>
    <xf numFmtId="0" fontId="68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shrinkToFit="1"/>
    </xf>
    <xf numFmtId="0" fontId="0" fillId="0" borderId="0" xfId="0" applyBorder="1" applyAlignment="1" applyProtection="1">
      <alignment shrinkToFit="1"/>
    </xf>
    <xf numFmtId="3" fontId="8" fillId="7" borderId="36" xfId="0" applyNumberFormat="1" applyFont="1" applyFill="1" applyBorder="1" applyAlignment="1" applyProtection="1">
      <alignment horizontal="center" vertical="center" shrinkToFit="1"/>
      <protection locked="0"/>
    </xf>
    <xf numFmtId="3" fontId="8" fillId="7" borderId="32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/>
    <xf numFmtId="0" fontId="65" fillId="0" borderId="0" xfId="0" applyNumberFormat="1" applyFont="1" applyAlignment="1" applyProtection="1">
      <alignment vertical="top" shrinkToFit="1"/>
    </xf>
    <xf numFmtId="0" fontId="36" fillId="0" borderId="11" xfId="0" applyNumberFormat="1" applyFont="1" applyBorder="1" applyAlignment="1" applyProtection="1">
      <alignment horizontal="right" vertical="top" shrinkToFit="1"/>
    </xf>
    <xf numFmtId="0" fontId="42" fillId="0" borderId="11" xfId="0" applyNumberFormat="1" applyFont="1" applyBorder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left" vertical="top" shrinkToFit="1"/>
    </xf>
    <xf numFmtId="0" fontId="12" fillId="0" borderId="0" xfId="0" applyFont="1"/>
    <xf numFmtId="0" fontId="5" fillId="0" borderId="11" xfId="0" applyNumberFormat="1" applyFont="1" applyBorder="1" applyAlignment="1" applyProtection="1">
      <alignment vertical="top" shrinkToFit="1"/>
    </xf>
    <xf numFmtId="0" fontId="5" fillId="0" borderId="31" xfId="0" applyFont="1" applyBorder="1"/>
    <xf numFmtId="3" fontId="15" fillId="2" borderId="36" xfId="0" applyNumberFormat="1" applyFont="1" applyFill="1" applyBorder="1" applyAlignment="1" applyProtection="1">
      <alignment horizontal="center" vertical="center" shrinkToFit="1"/>
    </xf>
    <xf numFmtId="3" fontId="15" fillId="0" borderId="8" xfId="0" applyNumberFormat="1" applyFont="1" applyFill="1" applyBorder="1" applyAlignment="1" applyProtection="1">
      <alignment horizontal="center" vertical="center" shrinkToFit="1"/>
    </xf>
    <xf numFmtId="0" fontId="4" fillId="2" borderId="66" xfId="0" applyFont="1" applyFill="1" applyBorder="1" applyAlignment="1" applyProtection="1">
      <alignment horizontal="center" vertical="center" shrinkToFit="1"/>
    </xf>
    <xf numFmtId="3" fontId="15" fillId="2" borderId="5" xfId="0" applyNumberFormat="1" applyFont="1" applyFill="1" applyBorder="1" applyAlignment="1" applyProtection="1">
      <alignment horizontal="center" vertical="center" shrinkToFit="1"/>
    </xf>
    <xf numFmtId="0" fontId="5" fillId="0" borderId="11" xfId="0" applyNumberFormat="1" applyFont="1" applyBorder="1" applyAlignment="1" applyProtection="1">
      <alignment vertical="center" shrinkToFit="1"/>
    </xf>
    <xf numFmtId="3" fontId="15" fillId="0" borderId="6" xfId="0" applyNumberFormat="1" applyFont="1" applyFill="1" applyBorder="1" applyAlignment="1" applyProtection="1">
      <alignment horizontal="center" vertical="center" shrinkToFit="1"/>
    </xf>
    <xf numFmtId="3" fontId="15" fillId="0" borderId="63" xfId="0" applyNumberFormat="1" applyFont="1" applyFill="1" applyBorder="1" applyAlignment="1" applyProtection="1">
      <alignment horizontal="center" vertical="center" shrinkToFit="1"/>
    </xf>
    <xf numFmtId="0" fontId="14" fillId="0" borderId="11" xfId="0" applyNumberFormat="1" applyFont="1" applyFill="1" applyBorder="1" applyAlignment="1" applyProtection="1">
      <alignment horizontal="right" vertical="center" shrinkToFit="1"/>
    </xf>
    <xf numFmtId="3" fontId="15" fillId="2" borderId="4" xfId="0" applyNumberFormat="1" applyFont="1" applyFill="1" applyBorder="1" applyAlignment="1" applyProtection="1">
      <alignment horizontal="center" vertical="center" shrinkToFit="1"/>
    </xf>
    <xf numFmtId="3" fontId="15" fillId="2" borderId="6" xfId="0" applyNumberFormat="1" applyFont="1" applyFill="1" applyBorder="1" applyAlignment="1" applyProtection="1">
      <alignment horizontal="center" vertical="center" shrinkToFit="1"/>
    </xf>
    <xf numFmtId="3" fontId="15" fillId="2" borderId="63" xfId="0" applyNumberFormat="1" applyFont="1" applyFill="1" applyBorder="1" applyAlignment="1" applyProtection="1">
      <alignment horizontal="center" vertical="center" shrinkToFit="1"/>
    </xf>
    <xf numFmtId="0" fontId="42" fillId="0" borderId="0" xfId="0" applyFont="1" applyBorder="1" applyAlignment="1" applyProtection="1">
      <alignment vertical="top" shrinkToFit="1"/>
    </xf>
    <xf numFmtId="0" fontId="36" fillId="0" borderId="0" xfId="0" applyNumberFormat="1" applyFont="1" applyBorder="1" applyAlignment="1" applyProtection="1">
      <alignment vertical="center" shrinkToFit="1"/>
    </xf>
    <xf numFmtId="0" fontId="42" fillId="0" borderId="0" xfId="0" applyFont="1" applyAlignment="1" applyProtection="1">
      <alignment vertical="top" shrinkToFit="1"/>
    </xf>
    <xf numFmtId="0" fontId="42" fillId="0" borderId="0" xfId="0" applyNumberFormat="1" applyFont="1" applyAlignment="1" applyProtection="1">
      <alignment horizontal="right" vertical="top" shrinkToFit="1"/>
    </xf>
    <xf numFmtId="0" fontId="42" fillId="0" borderId="0" xfId="0" applyNumberFormat="1" applyFont="1" applyAlignment="1" applyProtection="1">
      <alignment vertical="top" shrinkToFit="1"/>
    </xf>
    <xf numFmtId="0" fontId="42" fillId="0" borderId="0" xfId="0" applyNumberFormat="1" applyFont="1" applyBorder="1" applyAlignment="1" applyProtection="1">
      <alignment vertical="top" shrinkToFit="1"/>
    </xf>
    <xf numFmtId="0" fontId="42" fillId="0" borderId="11" xfId="0" applyNumberFormat="1" applyFont="1" applyBorder="1" applyAlignment="1" applyProtection="1">
      <alignment vertical="center" shrinkToFit="1"/>
    </xf>
    <xf numFmtId="0" fontId="42" fillId="0" borderId="0" xfId="0" applyNumberFormat="1" applyFont="1" applyBorder="1" applyAlignment="1" applyProtection="1">
      <alignment horizontal="center" vertical="center" shrinkToFit="1"/>
    </xf>
    <xf numFmtId="0" fontId="42" fillId="0" borderId="0" xfId="0" applyFont="1" applyAlignment="1" applyProtection="1">
      <alignment horizontal="left" vertical="center" shrinkToFit="1"/>
    </xf>
    <xf numFmtId="0" fontId="42" fillId="0" borderId="0" xfId="0" applyFont="1" applyBorder="1" applyAlignment="1" applyProtection="1">
      <alignment vertical="center" shrinkToFit="1"/>
    </xf>
    <xf numFmtId="0" fontId="42" fillId="0" borderId="0" xfId="0" applyNumberFormat="1" applyFont="1" applyBorder="1" applyAlignment="1" applyProtection="1">
      <alignment horizontal="left" vertical="center" shrinkToFit="1"/>
    </xf>
    <xf numFmtId="0" fontId="42" fillId="0" borderId="0" xfId="0" applyNumberFormat="1" applyFont="1" applyBorder="1" applyAlignment="1" applyProtection="1">
      <alignment horizontal="right" vertical="center" shrinkToFit="1"/>
    </xf>
    <xf numFmtId="0" fontId="66" fillId="0" borderId="11" xfId="0" applyNumberFormat="1" applyFont="1" applyBorder="1" applyAlignment="1" applyProtection="1">
      <alignment horizontal="center" vertical="center" shrinkToFit="1"/>
    </xf>
    <xf numFmtId="0" fontId="3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</xf>
    <xf numFmtId="3" fontId="15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right" vertical="center" shrinkToFit="1"/>
    </xf>
    <xf numFmtId="1" fontId="15" fillId="7" borderId="4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84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8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60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40" xfId="0" applyNumberFormat="1" applyFont="1" applyFill="1" applyBorder="1" applyAlignment="1" applyProtection="1">
      <alignment horizontal="center" vertical="center" shrinkToFit="1"/>
    </xf>
    <xf numFmtId="3" fontId="15" fillId="7" borderId="20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60" xfId="0" applyNumberFormat="1" applyFont="1" applyFill="1" applyBorder="1" applyAlignment="1" applyProtection="1">
      <alignment horizontal="center" vertical="center" shrinkToFit="1"/>
    </xf>
    <xf numFmtId="0" fontId="1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3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70" xfId="0" applyNumberFormat="1" applyFont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3" fontId="15" fillId="7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0" xfId="0" applyFill="1"/>
    <xf numFmtId="0" fontId="39" fillId="0" borderId="0" xfId="0" applyNumberFormat="1" applyFont="1" applyBorder="1" applyAlignment="1" applyProtection="1">
      <alignment horizontal="right" vertical="center" shrinkToFit="1"/>
    </xf>
    <xf numFmtId="49" fontId="4" fillId="0" borderId="12" xfId="0" applyNumberFormat="1" applyFont="1" applyBorder="1" applyAlignment="1" applyProtection="1">
      <alignment horizontal="right" vertical="center" shrinkToFit="1"/>
    </xf>
    <xf numFmtId="49" fontId="4" fillId="0" borderId="0" xfId="0" applyNumberFormat="1" applyFont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right" vertical="center" shrinkToFit="1"/>
    </xf>
    <xf numFmtId="0" fontId="39" fillId="0" borderId="0" xfId="0" applyNumberFormat="1" applyFont="1" applyBorder="1" applyAlignment="1" applyProtection="1">
      <alignment horizontal="left" vertical="center" shrinkToFit="1"/>
    </xf>
    <xf numFmtId="0" fontId="70" fillId="10" borderId="0" xfId="0" applyFont="1" applyFill="1" applyBorder="1" applyAlignment="1" applyProtection="1">
      <alignment vertical="center" shrinkToFit="1"/>
    </xf>
    <xf numFmtId="0" fontId="70" fillId="10" borderId="0" xfId="0" applyFont="1" applyFill="1" applyAlignment="1" applyProtection="1">
      <alignment vertical="center" shrinkToFit="1"/>
    </xf>
    <xf numFmtId="0" fontId="71" fillId="10" borderId="0" xfId="0" applyFont="1" applyFill="1" applyBorder="1" applyAlignment="1" applyProtection="1">
      <alignment vertical="center" shrinkToFit="1"/>
    </xf>
    <xf numFmtId="0" fontId="77" fillId="10" borderId="0" xfId="0" applyFont="1" applyFill="1" applyBorder="1" applyAlignment="1" applyProtection="1">
      <alignment vertical="center" shrinkToFit="1"/>
    </xf>
    <xf numFmtId="0" fontId="79" fillId="10" borderId="0" xfId="0" applyFont="1" applyFill="1" applyAlignment="1" applyProtection="1">
      <alignment vertical="center" shrinkToFit="1"/>
    </xf>
    <xf numFmtId="0" fontId="81" fillId="10" borderId="0" xfId="0" applyFont="1" applyFill="1" applyBorder="1" applyAlignment="1" applyProtection="1">
      <alignment vertical="center" shrinkToFit="1"/>
    </xf>
    <xf numFmtId="0" fontId="82" fillId="10" borderId="0" xfId="4" quotePrefix="1" applyFont="1" applyFill="1" applyBorder="1" applyAlignment="1" applyProtection="1">
      <alignment vertical="center" shrinkToFit="1"/>
    </xf>
    <xf numFmtId="0" fontId="76" fillId="10" borderId="0" xfId="0" applyNumberFormat="1" applyFont="1" applyFill="1" applyBorder="1" applyAlignment="1" applyProtection="1">
      <alignment horizontal="center" vertical="center" shrinkToFit="1"/>
    </xf>
    <xf numFmtId="0" fontId="72" fillId="11" borderId="98" xfId="0" applyNumberFormat="1" applyFont="1" applyFill="1" applyBorder="1" applyAlignment="1" applyProtection="1">
      <alignment horizontal="center" vertical="center" shrinkToFit="1"/>
      <protection locked="0"/>
    </xf>
    <xf numFmtId="0" fontId="73" fillId="11" borderId="9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right" vertical="center" shrinkToFit="1"/>
    </xf>
    <xf numFmtId="0" fontId="33" fillId="0" borderId="0" xfId="0" applyFont="1" applyAlignment="1" applyProtection="1">
      <alignment horizontal="right" shrinkToFit="1"/>
    </xf>
    <xf numFmtId="3" fontId="15" fillId="7" borderId="8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8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right" vertical="center" shrinkToFit="1"/>
    </xf>
    <xf numFmtId="0" fontId="76" fillId="10" borderId="0" xfId="0" applyNumberFormat="1" applyFont="1" applyFill="1" applyBorder="1" applyAlignment="1" applyProtection="1">
      <alignment horizontal="center" vertical="center" shrinkToFit="1"/>
    </xf>
    <xf numFmtId="0" fontId="81" fillId="10" borderId="0" xfId="0" applyFont="1" applyFill="1" applyBorder="1" applyAlignment="1" applyProtection="1">
      <alignment horizontal="center" vertical="center" shrinkToFit="1"/>
    </xf>
    <xf numFmtId="0" fontId="78" fillId="10" borderId="0" xfId="0" applyFont="1" applyFill="1" applyBorder="1" applyAlignment="1" applyProtection="1">
      <alignment horizontal="center" vertical="center" readingOrder="2"/>
    </xf>
    <xf numFmtId="0" fontId="82" fillId="10" borderId="0" xfId="4" quotePrefix="1" applyFont="1" applyFill="1" applyBorder="1" applyAlignment="1" applyProtection="1">
      <alignment horizontal="center" vertical="center" readingOrder="2"/>
    </xf>
    <xf numFmtId="0" fontId="82" fillId="10" borderId="0" xfId="4" applyFont="1" applyFill="1" applyBorder="1" applyAlignment="1" applyProtection="1">
      <alignment horizontal="center" vertical="center" readingOrder="2"/>
    </xf>
    <xf numFmtId="0" fontId="82" fillId="10" borderId="0" xfId="4" quotePrefix="1" applyFont="1" applyFill="1" applyBorder="1" applyAlignment="1" applyProtection="1">
      <alignment horizontal="center" vertical="center" shrinkToFit="1"/>
    </xf>
    <xf numFmtId="0" fontId="82" fillId="10" borderId="0" xfId="4" applyFont="1" applyFill="1" applyBorder="1" applyAlignment="1" applyProtection="1">
      <alignment horizontal="center" vertical="center" shrinkToFit="1"/>
    </xf>
    <xf numFmtId="0" fontId="80" fillId="10" borderId="0" xfId="0" applyFont="1" applyFill="1" applyBorder="1"/>
    <xf numFmtId="3" fontId="31" fillId="0" borderId="0" xfId="0" applyNumberFormat="1" applyFont="1" applyBorder="1" applyAlignment="1" applyProtection="1">
      <alignment horizontal="right" vertical="center" shrinkToFit="1"/>
    </xf>
    <xf numFmtId="3" fontId="16" fillId="0" borderId="0" xfId="0" applyNumberFormat="1" applyFont="1" applyBorder="1" applyAlignment="1" applyProtection="1">
      <alignment horizontal="right" vertical="center" shrinkToFit="1"/>
    </xf>
    <xf numFmtId="3" fontId="36" fillId="0" borderId="0" xfId="0" applyNumberFormat="1" applyFont="1" applyBorder="1" applyAlignment="1" applyProtection="1">
      <alignment horizontal="right" vertical="center" shrinkToFit="1"/>
    </xf>
    <xf numFmtId="3" fontId="48" fillId="0" borderId="0" xfId="0" applyNumberFormat="1" applyFont="1" applyBorder="1" applyAlignment="1" applyProtection="1">
      <alignment horizontal="right" vertical="center" shrinkToFit="1"/>
    </xf>
    <xf numFmtId="3" fontId="15" fillId="0" borderId="0" xfId="0" applyNumberFormat="1" applyFont="1" applyBorder="1" applyAlignment="1" applyProtection="1">
      <alignment horizontal="right" vertical="center" shrinkToFit="1"/>
    </xf>
    <xf numFmtId="3" fontId="58" fillId="0" borderId="0" xfId="0" applyNumberFormat="1" applyFont="1" applyBorder="1" applyAlignment="1" applyProtection="1">
      <alignment horizontal="right" vertical="center" shrinkToFit="1"/>
    </xf>
    <xf numFmtId="3" fontId="53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left" vertical="center"/>
    </xf>
    <xf numFmtId="3" fontId="38" fillId="0" borderId="0" xfId="0" applyNumberFormat="1" applyFont="1" applyAlignment="1">
      <alignment horizontal="right" vertical="center"/>
    </xf>
    <xf numFmtId="3" fontId="17" fillId="0" borderId="3" xfId="0" applyNumberFormat="1" applyFont="1" applyBorder="1" applyAlignment="1">
      <alignment horizontal="left" vertical="center"/>
    </xf>
    <xf numFmtId="3" fontId="17" fillId="0" borderId="3" xfId="0" applyNumberFormat="1" applyFont="1" applyBorder="1" applyAlignment="1">
      <alignment horizontal="right" vertical="center" shrinkToFit="1"/>
    </xf>
    <xf numFmtId="0" fontId="45" fillId="0" borderId="0" xfId="2" applyFont="1" applyBorder="1" applyAlignment="1" applyProtection="1">
      <alignment horizontal="center"/>
    </xf>
    <xf numFmtId="0" fontId="39" fillId="0" borderId="0" xfId="0" applyNumberFormat="1" applyFont="1" applyBorder="1" applyAlignment="1" applyProtection="1">
      <alignment horizontal="right" vertical="center" shrinkToFit="1"/>
    </xf>
    <xf numFmtId="0" fontId="39" fillId="0" borderId="0" xfId="0" applyNumberFormat="1" applyFont="1" applyAlignment="1" applyProtection="1">
      <alignment horizontal="left" vertical="center" shrinkToFit="1"/>
    </xf>
    <xf numFmtId="0" fontId="39" fillId="0" borderId="0" xfId="0" applyNumberFormat="1" applyFont="1" applyAlignment="1" applyProtection="1">
      <alignment horizontal="right" vertical="center" shrinkToFit="1"/>
    </xf>
    <xf numFmtId="3" fontId="16" fillId="7" borderId="58" xfId="0" applyNumberFormat="1" applyFont="1" applyFill="1" applyBorder="1" applyAlignment="1" applyProtection="1">
      <alignment horizontal="center" vertical="center" shrinkToFit="1"/>
      <protection locked="0"/>
    </xf>
    <xf numFmtId="3" fontId="16" fillId="7" borderId="77" xfId="0" applyNumberFormat="1" applyFont="1" applyFill="1" applyBorder="1" applyAlignment="1" applyProtection="1">
      <alignment horizontal="center" vertical="center" shrinkToFit="1"/>
      <protection locked="0"/>
    </xf>
    <xf numFmtId="3" fontId="16" fillId="7" borderId="8" xfId="0" applyNumberFormat="1" applyFont="1" applyFill="1" applyBorder="1" applyAlignment="1" applyProtection="1">
      <alignment horizontal="center" vertical="center" shrinkToFit="1"/>
      <protection locked="0"/>
    </xf>
    <xf numFmtId="3" fontId="20" fillId="4" borderId="69" xfId="0" applyNumberFormat="1" applyFont="1" applyFill="1" applyBorder="1" applyAlignment="1" applyProtection="1">
      <alignment horizontal="center" vertical="center"/>
    </xf>
    <xf numFmtId="3" fontId="20" fillId="4" borderId="67" xfId="0" applyNumberFormat="1" applyFont="1" applyFill="1" applyBorder="1" applyAlignment="1" applyProtection="1">
      <alignment horizontal="center" vertical="center"/>
    </xf>
    <xf numFmtId="3" fontId="20" fillId="4" borderId="70" xfId="0" applyNumberFormat="1" applyFont="1" applyFill="1" applyBorder="1" applyAlignment="1" applyProtection="1">
      <alignment horizontal="center" vertical="center"/>
    </xf>
    <xf numFmtId="3" fontId="16" fillId="0" borderId="58" xfId="0" applyNumberFormat="1" applyFont="1" applyBorder="1" applyAlignment="1" applyProtection="1">
      <alignment horizontal="center" vertical="center" shrinkToFit="1"/>
    </xf>
    <xf numFmtId="3" fontId="16" fillId="0" borderId="77" xfId="0" applyNumberFormat="1" applyFont="1" applyBorder="1" applyAlignment="1" applyProtection="1">
      <alignment horizontal="center" vertical="center" shrinkToFit="1"/>
    </xf>
    <xf numFmtId="3" fontId="16" fillId="0" borderId="8" xfId="0" applyNumberFormat="1" applyFont="1" applyBorder="1" applyAlignment="1" applyProtection="1">
      <alignment horizontal="center" vertical="center" shrinkToFit="1"/>
    </xf>
    <xf numFmtId="3" fontId="16" fillId="0" borderId="92" xfId="0" applyNumberFormat="1" applyFont="1" applyBorder="1" applyAlignment="1" applyProtection="1">
      <alignment horizontal="center" vertical="center" shrinkToFit="1"/>
    </xf>
    <xf numFmtId="3" fontId="20" fillId="4" borderId="69" xfId="0" applyNumberFormat="1" applyFont="1" applyFill="1" applyBorder="1" applyAlignment="1" applyProtection="1">
      <alignment horizontal="center" vertical="center" shrinkToFit="1"/>
    </xf>
    <xf numFmtId="3" fontId="20" fillId="4" borderId="70" xfId="0" applyNumberFormat="1" applyFont="1" applyFill="1" applyBorder="1" applyAlignment="1" applyProtection="1">
      <alignment horizontal="center" vertical="center" shrinkToFit="1"/>
    </xf>
    <xf numFmtId="3" fontId="36" fillId="6" borderId="0" xfId="0" applyNumberFormat="1" applyFont="1" applyFill="1" applyBorder="1" applyAlignment="1" applyProtection="1">
      <alignment horizontal="right" vertical="center" shrinkToFit="1"/>
    </xf>
    <xf numFmtId="0" fontId="36" fillId="0" borderId="0" xfId="2" applyFont="1" applyBorder="1" applyAlignment="1" applyProtection="1">
      <alignment horizontal="center"/>
    </xf>
    <xf numFmtId="0" fontId="36" fillId="0" borderId="0" xfId="2" applyFont="1" applyBorder="1" applyAlignment="1" applyProtection="1">
      <alignment horizontal="right"/>
    </xf>
    <xf numFmtId="0" fontId="45" fillId="0" borderId="0" xfId="2" applyFont="1" applyBorder="1" applyAlignment="1" applyProtection="1">
      <alignment horizontal="right"/>
    </xf>
    <xf numFmtId="3" fontId="16" fillId="4" borderId="69" xfId="0" applyNumberFormat="1" applyFont="1" applyFill="1" applyBorder="1" applyAlignment="1" applyProtection="1">
      <alignment horizontal="center" vertical="center" shrinkToFit="1"/>
    </xf>
    <xf numFmtId="3" fontId="16" fillId="4" borderId="67" xfId="0" applyNumberFormat="1" applyFont="1" applyFill="1" applyBorder="1" applyAlignment="1" applyProtection="1">
      <alignment horizontal="center" vertical="center" shrinkToFit="1"/>
    </xf>
    <xf numFmtId="3" fontId="16" fillId="4" borderId="70" xfId="0" applyNumberFormat="1" applyFont="1" applyFill="1" applyBorder="1" applyAlignment="1" applyProtection="1">
      <alignment horizontal="center" vertical="center" shrinkToFit="1"/>
    </xf>
    <xf numFmtId="3" fontId="16" fillId="4" borderId="73" xfId="0" applyNumberFormat="1" applyFont="1" applyFill="1" applyBorder="1" applyAlignment="1" applyProtection="1">
      <alignment horizontal="center" vertical="center" shrinkToFit="1"/>
    </xf>
    <xf numFmtId="3" fontId="16" fillId="0" borderId="69" xfId="0" applyNumberFormat="1" applyFont="1" applyBorder="1" applyAlignment="1" applyProtection="1">
      <alignment horizontal="center" vertical="center" shrinkToFit="1"/>
    </xf>
    <xf numFmtId="3" fontId="16" fillId="0" borderId="67" xfId="0" applyNumberFormat="1" applyFont="1" applyBorder="1" applyAlignment="1" applyProtection="1">
      <alignment horizontal="center" vertical="center" shrinkToFit="1"/>
    </xf>
    <xf numFmtId="3" fontId="16" fillId="0" borderId="70" xfId="0" applyNumberFormat="1" applyFont="1" applyBorder="1" applyAlignment="1" applyProtection="1">
      <alignment horizontal="center" vertical="center" shrinkToFit="1"/>
    </xf>
    <xf numFmtId="3" fontId="16" fillId="0" borderId="68" xfId="0" applyNumberFormat="1" applyFont="1" applyBorder="1" applyAlignment="1" applyProtection="1">
      <alignment horizontal="center" vertical="center" shrinkToFit="1"/>
    </xf>
    <xf numFmtId="3" fontId="16" fillId="0" borderId="73" xfId="0" applyNumberFormat="1" applyFont="1" applyBorder="1" applyAlignment="1" applyProtection="1">
      <alignment horizontal="center" vertical="center" shrinkToFit="1"/>
    </xf>
    <xf numFmtId="3" fontId="16" fillId="0" borderId="48" xfId="0" applyNumberFormat="1" applyFont="1" applyBorder="1" applyAlignment="1" applyProtection="1">
      <alignment horizontal="center" vertical="center" shrinkToFit="1"/>
    </xf>
    <xf numFmtId="3" fontId="16" fillId="0" borderId="76" xfId="0" applyNumberFormat="1" applyFont="1" applyBorder="1" applyAlignment="1" applyProtection="1">
      <alignment horizontal="center" vertical="center" shrinkToFit="1"/>
    </xf>
    <xf numFmtId="3" fontId="16" fillId="0" borderId="23" xfId="0" applyNumberFormat="1" applyFont="1" applyBorder="1" applyAlignment="1" applyProtection="1">
      <alignment horizontal="center" vertical="center" shrinkToFit="1"/>
    </xf>
    <xf numFmtId="3" fontId="16" fillId="7" borderId="59" xfId="0" applyNumberFormat="1" applyFont="1" applyFill="1" applyBorder="1" applyAlignment="1" applyProtection="1">
      <alignment horizontal="center" vertical="center" shrinkToFit="1"/>
      <protection locked="0"/>
    </xf>
    <xf numFmtId="3" fontId="16" fillId="7" borderId="80" xfId="0" applyNumberFormat="1" applyFont="1" applyFill="1" applyBorder="1" applyAlignment="1" applyProtection="1">
      <alignment horizontal="center" vertical="center" shrinkToFit="1"/>
      <protection locked="0"/>
    </xf>
    <xf numFmtId="3" fontId="16" fillId="7" borderId="60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8" xfId="1" applyNumberFormat="1" applyFont="1" applyBorder="1" applyAlignment="1" applyProtection="1">
      <alignment horizontal="center" vertical="center" shrinkToFit="1"/>
    </xf>
    <xf numFmtId="3" fontId="27" fillId="0" borderId="23" xfId="1" applyNumberFormat="1" applyFont="1" applyBorder="1" applyAlignment="1" applyProtection="1">
      <alignment horizontal="center" vertical="center" shrinkToFit="1"/>
    </xf>
    <xf numFmtId="3" fontId="20" fillId="0" borderId="48" xfId="1" applyNumberFormat="1" applyFont="1" applyBorder="1" applyAlignment="1" applyProtection="1">
      <alignment horizontal="center" vertical="center" shrinkToFit="1"/>
    </xf>
    <xf numFmtId="3" fontId="20" fillId="0" borderId="23" xfId="1" applyNumberFormat="1" applyFont="1" applyBorder="1" applyAlignment="1" applyProtection="1">
      <alignment horizontal="center" vertical="center" shrinkToFit="1"/>
    </xf>
    <xf numFmtId="3" fontId="20" fillId="0" borderId="69" xfId="1" applyNumberFormat="1" applyFont="1" applyBorder="1" applyAlignment="1" applyProtection="1">
      <alignment horizontal="center" vertical="center" shrinkToFit="1"/>
    </xf>
    <xf numFmtId="3" fontId="20" fillId="0" borderId="70" xfId="1" applyNumberFormat="1" applyFont="1" applyBorder="1" applyAlignment="1" applyProtection="1">
      <alignment horizontal="center" vertical="center" shrinkToFit="1"/>
    </xf>
    <xf numFmtId="3" fontId="20" fillId="2" borderId="69" xfId="1" applyNumberFormat="1" applyFont="1" applyFill="1" applyBorder="1" applyAlignment="1" applyProtection="1">
      <alignment horizontal="center" vertical="center" shrinkToFit="1"/>
    </xf>
    <xf numFmtId="3" fontId="20" fillId="2" borderId="70" xfId="1" applyNumberFormat="1" applyFont="1" applyFill="1" applyBorder="1" applyAlignment="1" applyProtection="1">
      <alignment horizontal="center" vertical="center" shrinkToFit="1"/>
    </xf>
    <xf numFmtId="3" fontId="20" fillId="0" borderId="10" xfId="1" applyNumberFormat="1" applyFont="1" applyBorder="1" applyAlignment="1" applyProtection="1">
      <alignment horizontal="center" vertical="center" shrinkToFit="1"/>
    </xf>
    <xf numFmtId="1" fontId="38" fillId="0" borderId="46" xfId="1" applyNumberFormat="1" applyFont="1" applyBorder="1" applyAlignment="1" applyProtection="1">
      <alignment horizontal="center" vertical="center" shrinkToFit="1"/>
    </xf>
    <xf numFmtId="1" fontId="38" fillId="0" borderId="7" xfId="1" applyNumberFormat="1" applyFont="1" applyBorder="1" applyAlignment="1" applyProtection="1">
      <alignment horizontal="center" vertical="center" shrinkToFit="1"/>
    </xf>
    <xf numFmtId="3" fontId="38" fillId="0" borderId="79" xfId="1" applyNumberFormat="1" applyFont="1" applyBorder="1" applyAlignment="1" applyProtection="1">
      <alignment horizontal="center" vertical="center" wrapText="1"/>
    </xf>
    <xf numFmtId="3" fontId="38" fillId="0" borderId="75" xfId="1" applyNumberFormat="1" applyFont="1" applyBorder="1" applyAlignment="1" applyProtection="1">
      <alignment horizontal="center" vertical="center" wrapText="1"/>
    </xf>
    <xf numFmtId="3" fontId="38" fillId="0" borderId="72" xfId="1" applyNumberFormat="1" applyFont="1" applyBorder="1" applyAlignment="1" applyProtection="1">
      <alignment horizontal="center" vertical="center" wrapText="1"/>
    </xf>
    <xf numFmtId="3" fontId="38" fillId="0" borderId="34" xfId="1" applyNumberFormat="1" applyFont="1" applyBorder="1" applyAlignment="1" applyProtection="1">
      <alignment horizontal="center" vertical="center" wrapText="1"/>
    </xf>
    <xf numFmtId="3" fontId="38" fillId="0" borderId="3" xfId="1" applyNumberFormat="1" applyFont="1" applyBorder="1" applyAlignment="1" applyProtection="1">
      <alignment horizontal="center" vertical="center" wrapText="1"/>
    </xf>
    <xf numFmtId="3" fontId="38" fillId="0" borderId="10" xfId="1" applyNumberFormat="1" applyFont="1" applyBorder="1" applyAlignment="1" applyProtection="1">
      <alignment horizontal="center" vertical="center" wrapText="1"/>
    </xf>
    <xf numFmtId="3" fontId="38" fillId="0" borderId="75" xfId="3" applyNumberFormat="1" applyFont="1" applyBorder="1" applyAlignment="1" applyProtection="1">
      <alignment horizontal="center" vertical="center" wrapText="1"/>
    </xf>
    <xf numFmtId="3" fontId="38" fillId="0" borderId="72" xfId="3" applyNumberFormat="1" applyFont="1" applyBorder="1" applyAlignment="1" applyProtection="1">
      <alignment horizontal="center" vertical="center" wrapText="1"/>
    </xf>
    <xf numFmtId="3" fontId="38" fillId="0" borderId="3" xfId="3" applyNumberFormat="1" applyFont="1" applyBorder="1" applyAlignment="1" applyProtection="1">
      <alignment horizontal="center" vertical="center" wrapText="1"/>
    </xf>
    <xf numFmtId="3" fontId="38" fillId="0" borderId="10" xfId="3" applyNumberFormat="1" applyFont="1" applyBorder="1" applyAlignment="1" applyProtection="1">
      <alignment horizontal="center" vertical="center" wrapText="1"/>
    </xf>
    <xf numFmtId="3" fontId="16" fillId="0" borderId="89" xfId="0" applyNumberFormat="1" applyFont="1" applyBorder="1" applyAlignment="1" applyProtection="1">
      <alignment horizontal="center" vertical="center" shrinkToFit="1"/>
    </xf>
    <xf numFmtId="3" fontId="16" fillId="0" borderId="80" xfId="0" applyNumberFormat="1" applyFont="1" applyBorder="1" applyAlignment="1" applyProtection="1">
      <alignment horizontal="center" vertical="center" shrinkToFit="1"/>
    </xf>
    <xf numFmtId="3" fontId="16" fillId="0" borderId="60" xfId="0" applyNumberFormat="1" applyFont="1" applyBorder="1" applyAlignment="1" applyProtection="1">
      <alignment horizontal="center" vertical="center" shrinkToFit="1"/>
    </xf>
    <xf numFmtId="3" fontId="16" fillId="0" borderId="59" xfId="0" applyNumberFormat="1" applyFont="1" applyBorder="1" applyAlignment="1" applyProtection="1">
      <alignment horizontal="center" vertical="center" shrinkToFit="1"/>
    </xf>
    <xf numFmtId="3" fontId="16" fillId="7" borderId="84" xfId="0" applyNumberFormat="1" applyFont="1" applyFill="1" applyBorder="1" applyAlignment="1" applyProtection="1">
      <alignment horizontal="center" vertical="center" shrinkToFit="1"/>
      <protection locked="0"/>
    </xf>
    <xf numFmtId="3" fontId="16" fillId="7" borderId="93" xfId="0" applyNumberFormat="1" applyFont="1" applyFill="1" applyBorder="1" applyAlignment="1" applyProtection="1">
      <alignment horizontal="center" vertical="center" shrinkToFit="1"/>
      <protection locked="0"/>
    </xf>
    <xf numFmtId="3" fontId="16" fillId="7" borderId="78" xfId="0" applyNumberFormat="1" applyFont="1" applyFill="1" applyBorder="1" applyAlignment="1" applyProtection="1">
      <alignment horizontal="center" vertical="center" shrinkToFit="1"/>
      <protection locked="0"/>
    </xf>
    <xf numFmtId="3" fontId="16" fillId="7" borderId="94" xfId="0" applyNumberFormat="1" applyFont="1" applyFill="1" applyBorder="1" applyAlignment="1" applyProtection="1">
      <alignment horizontal="center" vertical="center" shrinkToFit="1"/>
      <protection locked="0"/>
    </xf>
    <xf numFmtId="3" fontId="16" fillId="0" borderId="19" xfId="0" applyNumberFormat="1" applyFont="1" applyBorder="1" applyAlignment="1" applyProtection="1">
      <alignment horizontal="center" vertical="center" shrinkToFit="1"/>
    </xf>
    <xf numFmtId="3" fontId="16" fillId="0" borderId="3" xfId="0" applyNumberFormat="1" applyFont="1" applyBorder="1" applyAlignment="1" applyProtection="1">
      <alignment horizontal="center" vertical="center" shrinkToFit="1"/>
    </xf>
    <xf numFmtId="3" fontId="16" fillId="0" borderId="10" xfId="0" applyNumberFormat="1" applyFont="1" applyBorder="1" applyAlignment="1" applyProtection="1">
      <alignment horizontal="center" vertical="center" shrinkToFit="1"/>
    </xf>
    <xf numFmtId="3" fontId="16" fillId="0" borderId="34" xfId="0" applyNumberFormat="1" applyFont="1" applyBorder="1" applyAlignment="1" applyProtection="1">
      <alignment horizontal="center" vertical="center" shrinkToFit="1"/>
    </xf>
    <xf numFmtId="3" fontId="16" fillId="0" borderId="85" xfId="0" applyNumberFormat="1" applyFont="1" applyBorder="1" applyAlignment="1" applyProtection="1">
      <alignment horizontal="center" vertical="center" shrinkToFit="1"/>
    </xf>
    <xf numFmtId="3" fontId="16" fillId="0" borderId="95" xfId="0" applyNumberFormat="1" applyFont="1" applyBorder="1" applyAlignment="1" applyProtection="1">
      <alignment horizontal="center" vertical="center" shrinkToFit="1"/>
    </xf>
    <xf numFmtId="3" fontId="16" fillId="0" borderId="78" xfId="0" applyNumberFormat="1" applyFont="1" applyBorder="1" applyAlignment="1" applyProtection="1">
      <alignment horizontal="center" vertical="center" shrinkToFit="1"/>
    </xf>
    <xf numFmtId="3" fontId="16" fillId="0" borderId="94" xfId="0" applyNumberFormat="1" applyFont="1" applyBorder="1" applyAlignment="1" applyProtection="1">
      <alignment horizontal="center" vertical="center" shrinkToFit="1"/>
    </xf>
    <xf numFmtId="3" fontId="16" fillId="0" borderId="93" xfId="0" applyNumberFormat="1" applyFont="1" applyBorder="1" applyAlignment="1" applyProtection="1">
      <alignment horizontal="center" vertical="center" shrinkToFit="1"/>
    </xf>
    <xf numFmtId="3" fontId="38" fillId="0" borderId="46" xfId="1" applyNumberFormat="1" applyFont="1" applyBorder="1" applyAlignment="1" applyProtection="1">
      <alignment horizontal="center" vertical="center" shrinkToFit="1"/>
    </xf>
    <xf numFmtId="3" fontId="38" fillId="0" borderId="2" xfId="1" applyNumberFormat="1" applyFont="1" applyBorder="1" applyAlignment="1" applyProtection="1">
      <alignment horizontal="center" vertical="center" shrinkToFit="1"/>
    </xf>
    <xf numFmtId="3" fontId="16" fillId="2" borderId="69" xfId="0" applyNumberFormat="1" applyFont="1" applyFill="1" applyBorder="1" applyAlignment="1" applyProtection="1">
      <alignment horizontal="center" vertical="center" shrinkToFit="1"/>
    </xf>
    <xf numFmtId="3" fontId="16" fillId="2" borderId="67" xfId="0" applyNumberFormat="1" applyFont="1" applyFill="1" applyBorder="1" applyAlignment="1" applyProtection="1">
      <alignment horizontal="center" vertical="center" shrinkToFit="1"/>
    </xf>
    <xf numFmtId="3" fontId="16" fillId="2" borderId="70" xfId="0" applyNumberFormat="1" applyFont="1" applyFill="1" applyBorder="1" applyAlignment="1" applyProtection="1">
      <alignment horizontal="center" vertical="center" shrinkToFit="1"/>
    </xf>
    <xf numFmtId="3" fontId="16" fillId="2" borderId="73" xfId="0" applyNumberFormat="1" applyFont="1" applyFill="1" applyBorder="1" applyAlignment="1" applyProtection="1">
      <alignment horizontal="center" vertical="center" shrinkToFit="1"/>
    </xf>
    <xf numFmtId="3" fontId="16" fillId="7" borderId="83" xfId="0" applyNumberFormat="1" applyFont="1" applyFill="1" applyBorder="1" applyAlignment="1" applyProtection="1">
      <alignment horizontal="center" vertical="center" shrinkToFit="1"/>
      <protection locked="0"/>
    </xf>
    <xf numFmtId="3" fontId="49" fillId="0" borderId="0" xfId="0" applyNumberFormat="1" applyFont="1" applyBorder="1" applyAlignment="1" applyProtection="1">
      <alignment horizontal="right" vertical="center" shrinkToFit="1"/>
    </xf>
    <xf numFmtId="0" fontId="42" fillId="0" borderId="0" xfId="0" applyFont="1" applyAlignment="1" applyProtection="1">
      <alignment horizontal="center" vertical="top" shrinkToFit="1"/>
    </xf>
    <xf numFmtId="0" fontId="42" fillId="0" borderId="41" xfId="0" applyFont="1" applyBorder="1" applyAlignment="1" applyProtection="1">
      <alignment horizontal="center" vertical="center" shrinkToFit="1"/>
    </xf>
    <xf numFmtId="0" fontId="65" fillId="0" borderId="2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right" shrinkToFit="1"/>
    </xf>
    <xf numFmtId="0" fontId="2" fillId="3" borderId="19" xfId="0" applyFont="1" applyFill="1" applyBorder="1" applyAlignment="1" applyProtection="1">
      <alignment horizontal="center" vertical="top" shrinkToFit="1"/>
    </xf>
    <xf numFmtId="0" fontId="2" fillId="3" borderId="10" xfId="0" applyFont="1" applyFill="1" applyBorder="1" applyAlignment="1" applyProtection="1">
      <alignment horizontal="center" vertical="top" shrinkToFit="1"/>
    </xf>
    <xf numFmtId="0" fontId="42" fillId="2" borderId="13" xfId="0" applyFont="1" applyFill="1" applyBorder="1" applyAlignment="1" applyProtection="1">
      <alignment horizontal="center" vertical="center" shrinkToFit="1"/>
    </xf>
    <xf numFmtId="0" fontId="42" fillId="2" borderId="40" xfId="0" applyFont="1" applyFill="1" applyBorder="1" applyAlignment="1" applyProtection="1">
      <alignment horizontal="center" vertical="center" shrinkToFit="1"/>
    </xf>
    <xf numFmtId="49" fontId="4" fillId="0" borderId="12" xfId="0" applyNumberFormat="1" applyFont="1" applyBorder="1" applyAlignment="1" applyProtection="1">
      <alignment horizontal="right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right" vertical="top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29" fillId="0" borderId="0" xfId="0" applyFont="1" applyAlignment="1" applyProtection="1">
      <alignment horizontal="right" vertical="center" shrinkToFit="1"/>
    </xf>
    <xf numFmtId="0" fontId="42" fillId="0" borderId="0" xfId="0" applyNumberFormat="1" applyFont="1" applyAlignment="1" applyProtection="1">
      <alignment horizontal="center" vertical="center" shrinkToFit="1"/>
    </xf>
    <xf numFmtId="0" fontId="42" fillId="0" borderId="11" xfId="0" applyNumberFormat="1" applyFont="1" applyBorder="1" applyAlignment="1" applyProtection="1">
      <alignment horizontal="center" vertical="center" shrinkToFit="1"/>
    </xf>
    <xf numFmtId="0" fontId="42" fillId="0" borderId="2" xfId="0" applyFont="1" applyBorder="1" applyAlignment="1" applyProtection="1">
      <alignment horizontal="center" vertical="center" shrinkToFit="1"/>
    </xf>
    <xf numFmtId="0" fontId="42" fillId="0" borderId="42" xfId="0" applyFont="1" applyBorder="1" applyAlignment="1" applyProtection="1">
      <alignment horizontal="center" vertical="center" shrinkToFit="1"/>
    </xf>
    <xf numFmtId="0" fontId="42" fillId="0" borderId="26" xfId="0" applyFont="1" applyBorder="1" applyAlignment="1" applyProtection="1">
      <alignment horizontal="center" vertical="center" shrinkToFit="1"/>
    </xf>
    <xf numFmtId="0" fontId="42" fillId="0" borderId="43" xfId="0" applyFont="1" applyBorder="1" applyAlignment="1" applyProtection="1">
      <alignment horizontal="center" vertical="center" shrinkToFit="1"/>
    </xf>
    <xf numFmtId="0" fontId="42" fillId="0" borderId="44" xfId="0" applyFont="1" applyBorder="1" applyAlignment="1" applyProtection="1">
      <alignment horizontal="center" vertical="center" shrinkToFit="1"/>
    </xf>
    <xf numFmtId="0" fontId="42" fillId="0" borderId="31" xfId="0" applyFont="1" applyBorder="1" applyAlignment="1" applyProtection="1">
      <alignment horizontal="center" vertical="center" shrinkToFit="1"/>
    </xf>
    <xf numFmtId="0" fontId="42" fillId="0" borderId="9" xfId="0" applyFont="1" applyBorder="1" applyAlignment="1" applyProtection="1">
      <alignment horizontal="center" vertical="center" shrinkToFit="1"/>
    </xf>
    <xf numFmtId="0" fontId="67" fillId="3" borderId="21" xfId="0" applyFont="1" applyFill="1" applyBorder="1" applyAlignment="1" applyProtection="1">
      <alignment horizontal="center" vertical="top" shrinkToFit="1"/>
    </xf>
    <xf numFmtId="0" fontId="67" fillId="3" borderId="20" xfId="0" applyFont="1" applyFill="1" applyBorder="1" applyAlignment="1" applyProtection="1">
      <alignment horizontal="center" vertical="top" shrinkToFit="1"/>
    </xf>
    <xf numFmtId="0" fontId="29" fillId="0" borderId="0" xfId="0" applyFont="1" applyAlignment="1" applyProtection="1">
      <alignment horizontal="right" shrinkToFit="1"/>
    </xf>
    <xf numFmtId="0" fontId="31" fillId="0" borderId="0" xfId="0" applyFont="1" applyAlignment="1" applyProtection="1">
      <alignment horizontal="right" vertical="center" shrinkToFit="1"/>
    </xf>
    <xf numFmtId="0" fontId="2" fillId="3" borderId="0" xfId="0" applyFont="1" applyFill="1" applyAlignment="1" applyProtection="1">
      <alignment horizontal="center" vertical="top" shrinkToFit="1"/>
    </xf>
    <xf numFmtId="49" fontId="4" fillId="0" borderId="12" xfId="0" applyNumberFormat="1" applyFont="1" applyBorder="1" applyAlignment="1" applyProtection="1">
      <alignment horizontal="right" shrinkToFit="1"/>
    </xf>
    <xf numFmtId="0" fontId="4" fillId="0" borderId="0" xfId="0" applyFont="1" applyBorder="1" applyAlignment="1" applyProtection="1">
      <alignment horizontal="left" shrinkToFit="1"/>
    </xf>
    <xf numFmtId="0" fontId="4" fillId="7" borderId="14" xfId="0" applyFont="1" applyFill="1" applyBorder="1" applyAlignment="1" applyProtection="1">
      <alignment horizontal="right" vertical="center" shrinkToFit="1"/>
      <protection locked="0"/>
    </xf>
    <xf numFmtId="0" fontId="4" fillId="7" borderId="18" xfId="0" applyFont="1" applyFill="1" applyBorder="1" applyAlignment="1" applyProtection="1">
      <alignment horizontal="right" vertical="center" shrinkToFit="1"/>
      <protection locked="0"/>
    </xf>
    <xf numFmtId="49" fontId="4" fillId="0" borderId="12" xfId="0" applyNumberFormat="1" applyFont="1" applyBorder="1" applyAlignment="1" applyProtection="1">
      <alignment horizontal="left" shrinkToFit="1"/>
    </xf>
    <xf numFmtId="0" fontId="4" fillId="0" borderId="12" xfId="0" applyFont="1" applyBorder="1" applyAlignment="1" applyProtection="1">
      <alignment horizontal="left" shrinkToFit="1"/>
    </xf>
    <xf numFmtId="0" fontId="4" fillId="0" borderId="0" xfId="0" applyNumberFormat="1" applyFont="1" applyAlignment="1" applyProtection="1">
      <alignment horizontal="center" vertical="center" shrinkToFit="1"/>
    </xf>
    <xf numFmtId="0" fontId="4" fillId="0" borderId="11" xfId="0" applyNumberFormat="1" applyFont="1" applyBorder="1" applyAlignment="1" applyProtection="1">
      <alignment horizontal="center" vertical="center" shrinkToFit="1"/>
    </xf>
    <xf numFmtId="0" fontId="6" fillId="2" borderId="37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6" fillId="2" borderId="41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right" vertical="top" shrinkToFit="1"/>
    </xf>
    <xf numFmtId="0" fontId="6" fillId="2" borderId="45" xfId="0" applyFont="1" applyFill="1" applyBorder="1" applyAlignment="1" applyProtection="1">
      <alignment horizontal="center" vertical="top" shrinkToFit="1"/>
    </xf>
    <xf numFmtId="0" fontId="6" fillId="2" borderId="16" xfId="0" applyFont="1" applyFill="1" applyBorder="1" applyAlignment="1" applyProtection="1">
      <alignment horizontal="center" vertical="top" shrinkToFit="1"/>
    </xf>
    <xf numFmtId="0" fontId="6" fillId="2" borderId="25" xfId="0" applyFont="1" applyFill="1" applyBorder="1" applyAlignment="1" applyProtection="1">
      <alignment horizontal="center" vertical="top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42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right" shrinkToFit="1"/>
    </xf>
    <xf numFmtId="0" fontId="67" fillId="3" borderId="0" xfId="0" applyFont="1" applyFill="1" applyAlignment="1" applyProtection="1">
      <alignment horizontal="center" vertical="top" shrinkToFit="1"/>
    </xf>
    <xf numFmtId="49" fontId="42" fillId="0" borderId="12" xfId="0" applyNumberFormat="1" applyFont="1" applyBorder="1" applyAlignment="1" applyProtection="1">
      <alignment horizontal="left" vertical="center" shrinkToFit="1"/>
    </xf>
    <xf numFmtId="0" fontId="42" fillId="0" borderId="12" xfId="0" applyFont="1" applyBorder="1" applyAlignment="1" applyProtection="1">
      <alignment horizontal="left" vertical="center" shrinkToFit="1"/>
    </xf>
    <xf numFmtId="49" fontId="42" fillId="0" borderId="12" xfId="0" applyNumberFormat="1" applyFont="1" applyBorder="1" applyAlignment="1" applyProtection="1">
      <alignment horizontal="right" vertical="center" shrinkToFit="1"/>
    </xf>
    <xf numFmtId="0" fontId="42" fillId="0" borderId="0" xfId="0" applyFont="1" applyBorder="1" applyAlignment="1" applyProtection="1">
      <alignment horizontal="left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5" xfId="0" applyFont="1" applyFill="1" applyBorder="1" applyAlignment="1" applyProtection="1">
      <alignment horizontal="center" vertical="center" shrinkToFit="1"/>
    </xf>
    <xf numFmtId="0" fontId="4" fillId="2" borderId="26" xfId="0" applyFont="1" applyFill="1" applyBorder="1" applyAlignment="1" applyProtection="1">
      <alignment horizontal="center" vertical="center" shrinkToFit="1"/>
    </xf>
    <xf numFmtId="0" fontId="4" fillId="2" borderId="37" xfId="0" applyFont="1" applyFill="1" applyBorder="1" applyAlignment="1" applyProtection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 shrinkToFit="1"/>
    </xf>
    <xf numFmtId="0" fontId="4" fillId="2" borderId="34" xfId="0" applyFont="1" applyFill="1" applyBorder="1" applyAlignment="1" applyProtection="1">
      <alignment horizontal="center" vertical="top" shrinkToFit="1"/>
    </xf>
    <xf numFmtId="0" fontId="4" fillId="2" borderId="3" xfId="0" applyFont="1" applyFill="1" applyBorder="1" applyAlignment="1" applyProtection="1">
      <alignment horizontal="center" vertical="top" shrinkToFit="1"/>
    </xf>
    <xf numFmtId="0" fontId="4" fillId="2" borderId="10" xfId="0" applyFont="1" applyFill="1" applyBorder="1" applyAlignment="1" applyProtection="1">
      <alignment horizontal="center" vertical="top" shrinkToFit="1"/>
    </xf>
    <xf numFmtId="0" fontId="4" fillId="2" borderId="45" xfId="0" applyFont="1" applyFill="1" applyBorder="1" applyAlignment="1" applyProtection="1">
      <alignment horizontal="center" vertical="center" shrinkToFit="1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vertical="center" shrinkToFit="1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top" shrinkToFit="1"/>
    </xf>
    <xf numFmtId="0" fontId="4" fillId="0" borderId="37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</xf>
    <xf numFmtId="0" fontId="1" fillId="0" borderId="15" xfId="0" applyFont="1" applyBorder="1" applyAlignment="1" applyProtection="1">
      <alignment horizontal="center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shrinkToFit="1"/>
    </xf>
    <xf numFmtId="0" fontId="6" fillId="0" borderId="2" xfId="0" applyFont="1" applyBorder="1" applyAlignment="1" applyProtection="1">
      <alignment horizontal="center" shrinkToFit="1"/>
    </xf>
    <xf numFmtId="0" fontId="6" fillId="0" borderId="41" xfId="0" applyFont="1" applyBorder="1" applyAlignment="1" applyProtection="1">
      <alignment horizontal="center" shrinkToFit="1"/>
    </xf>
    <xf numFmtId="0" fontId="0" fillId="0" borderId="2" xfId="0" applyBorder="1" applyAlignment="1" applyProtection="1">
      <alignment shrinkToFit="1"/>
    </xf>
    <xf numFmtId="0" fontId="6" fillId="0" borderId="35" xfId="0" applyFont="1" applyBorder="1" applyAlignment="1" applyProtection="1">
      <alignment horizontal="center" shrinkToFit="1"/>
    </xf>
    <xf numFmtId="0" fontId="6" fillId="0" borderId="26" xfId="0" applyFont="1" applyBorder="1" applyAlignment="1" applyProtection="1">
      <alignment horizontal="center" shrinkToFit="1"/>
    </xf>
    <xf numFmtId="0" fontId="6" fillId="0" borderId="0" xfId="0" applyNumberFormat="1" applyFont="1" applyAlignment="1" applyProtection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center" shrinkToFit="1"/>
    </xf>
    <xf numFmtId="0" fontId="6" fillId="0" borderId="29" xfId="0" applyFont="1" applyBorder="1" applyAlignment="1" applyProtection="1">
      <alignment horizontal="center" shrinkToFit="1"/>
    </xf>
    <xf numFmtId="0" fontId="6" fillId="0" borderId="9" xfId="0" applyFont="1" applyBorder="1" applyAlignment="1" applyProtection="1">
      <alignment horizontal="center" shrinkToFit="1"/>
    </xf>
    <xf numFmtId="0" fontId="6" fillId="0" borderId="10" xfId="0" applyFont="1" applyBorder="1" applyAlignment="1" applyProtection="1">
      <alignment horizontal="center" shrinkToFit="1"/>
    </xf>
    <xf numFmtId="0" fontId="28" fillId="0" borderId="0" xfId="0" applyFont="1" applyAlignment="1" applyProtection="1">
      <alignment horizontal="right" shrinkToFit="1"/>
    </xf>
    <xf numFmtId="49" fontId="4" fillId="0" borderId="12" xfId="0" applyNumberFormat="1" applyFont="1" applyBorder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right" vertical="center" shrinkToFit="1"/>
    </xf>
    <xf numFmtId="0" fontId="4" fillId="0" borderId="12" xfId="0" applyNumberFormat="1" applyFont="1" applyBorder="1" applyAlignment="1" applyProtection="1">
      <alignment horizontal="right" vertical="center" shrinkToFit="1"/>
    </xf>
    <xf numFmtId="0" fontId="4" fillId="0" borderId="37" xfId="0" applyFont="1" applyBorder="1" applyAlignment="1" applyProtection="1">
      <alignment horizontal="center" shrinkToFit="1"/>
    </xf>
    <xf numFmtId="0" fontId="4" fillId="0" borderId="29" xfId="0" applyFont="1" applyBorder="1" applyAlignment="1" applyProtection="1">
      <alignment horizontal="center" shrinkToFit="1"/>
    </xf>
    <xf numFmtId="0" fontId="4" fillId="0" borderId="41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center" shrinkToFit="1"/>
    </xf>
    <xf numFmtId="0" fontId="4" fillId="0" borderId="42" xfId="0" applyFont="1" applyBorder="1" applyAlignment="1" applyProtection="1">
      <alignment horizontal="center" shrinkToFit="1"/>
    </xf>
    <xf numFmtId="0" fontId="4" fillId="0" borderId="26" xfId="0" applyFont="1" applyBorder="1" applyAlignment="1" applyProtection="1">
      <alignment horizontal="center" shrinkToFit="1"/>
    </xf>
    <xf numFmtId="0" fontId="4" fillId="7" borderId="14" xfId="0" applyFont="1" applyFill="1" applyBorder="1" applyAlignment="1" applyProtection="1">
      <alignment horizontal="center" vertical="center" shrinkToFit="1"/>
      <protection locked="0"/>
    </xf>
    <xf numFmtId="0" fontId="4" fillId="7" borderId="18" xfId="0" applyFont="1" applyFill="1" applyBorder="1" applyAlignment="1" applyProtection="1">
      <alignment horizontal="center" vertical="center" shrinkToFit="1"/>
      <protection locked="0"/>
    </xf>
    <xf numFmtId="2" fontId="4" fillId="7" borderId="14" xfId="0" applyNumberFormat="1" applyFont="1" applyFill="1" applyBorder="1" applyAlignment="1" applyProtection="1">
      <alignment horizontal="center" vertical="center" shrinkToFit="1"/>
      <protection locked="0"/>
    </xf>
    <xf numFmtId="2" fontId="4" fillId="7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0" xfId="0" applyNumberFormat="1" applyFont="1" applyBorder="1" applyAlignment="1" applyProtection="1">
      <alignment horizontal="left" vertical="center" shrinkToFit="1"/>
    </xf>
    <xf numFmtId="3" fontId="15" fillId="7" borderId="58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8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59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60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49" xfId="0" applyNumberFormat="1" applyFont="1" applyFill="1" applyBorder="1" applyAlignment="1" applyProtection="1">
      <alignment horizontal="center" vertical="center" shrinkToFit="1"/>
    </xf>
    <xf numFmtId="3" fontId="15" fillId="2" borderId="40" xfId="0" applyNumberFormat="1" applyFont="1" applyFill="1" applyBorder="1" applyAlignment="1" applyProtection="1">
      <alignment horizontal="center" vertical="center" shrinkToFit="1"/>
    </xf>
    <xf numFmtId="3" fontId="15" fillId="7" borderId="56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3" fontId="15" fillId="2" borderId="18" xfId="0" applyNumberFormat="1" applyFont="1" applyFill="1" applyBorder="1" applyAlignment="1" applyProtection="1">
      <alignment horizontal="center" vertical="center" shrinkToFit="1"/>
    </xf>
    <xf numFmtId="3" fontId="15" fillId="7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shrinkToFit="1"/>
    </xf>
    <xf numFmtId="0" fontId="4" fillId="0" borderId="0" xfId="0" applyNumberFormat="1" applyFont="1" applyAlignment="1" applyProtection="1">
      <alignment horizontal="right" vertical="center" shrinkToFit="1"/>
    </xf>
    <xf numFmtId="0" fontId="4" fillId="0" borderId="57" xfId="0" applyFont="1" applyBorder="1" applyAlignment="1" applyProtection="1">
      <alignment horizontal="center" shrinkToFit="1"/>
    </xf>
    <xf numFmtId="0" fontId="4" fillId="0" borderId="86" xfId="0" applyFont="1" applyBorder="1" applyAlignment="1" applyProtection="1">
      <alignment horizontal="center" shrinkToFit="1"/>
    </xf>
    <xf numFmtId="0" fontId="4" fillId="0" borderId="34" xfId="0" applyFont="1" applyBorder="1" applyAlignment="1" applyProtection="1">
      <alignment horizontal="center" shrinkToFit="1"/>
    </xf>
    <xf numFmtId="0" fontId="4" fillId="0" borderId="85" xfId="0" applyFont="1" applyBorder="1" applyAlignment="1" applyProtection="1">
      <alignment horizontal="center" shrinkToFit="1"/>
    </xf>
    <xf numFmtId="3" fontId="15" fillId="7" borderId="84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top" shrinkToFit="1"/>
    </xf>
    <xf numFmtId="0" fontId="4" fillId="2" borderId="14" xfId="0" applyFont="1" applyFill="1" applyBorder="1" applyAlignment="1" applyProtection="1">
      <alignment horizontal="center" vertical="top" shrinkToFit="1"/>
    </xf>
    <xf numFmtId="0" fontId="4" fillId="2" borderId="40" xfId="0" applyFont="1" applyFill="1" applyBorder="1" applyAlignment="1" applyProtection="1">
      <alignment horizontal="center" vertical="top" shrinkToFit="1"/>
    </xf>
    <xf numFmtId="0" fontId="4" fillId="0" borderId="11" xfId="0" applyNumberFormat="1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vertical="top" shrinkToFit="1"/>
    </xf>
    <xf numFmtId="0" fontId="4" fillId="0" borderId="45" xfId="0" applyFont="1" applyBorder="1" applyAlignment="1" applyProtection="1">
      <alignment horizontal="center" vertical="top" shrinkToFit="1"/>
    </xf>
    <xf numFmtId="0" fontId="4" fillId="0" borderId="25" xfId="0" applyFont="1" applyBorder="1" applyAlignment="1" applyProtection="1">
      <alignment horizontal="center" vertical="top" shrinkToFit="1"/>
    </xf>
    <xf numFmtId="49" fontId="4" fillId="7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right" vertical="center" shrinkToFit="1"/>
      <protection locked="0"/>
    </xf>
    <xf numFmtId="0" fontId="4" fillId="0" borderId="18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right" vertical="center" shrinkToFit="1"/>
    </xf>
    <xf numFmtId="0" fontId="4" fillId="0" borderId="18" xfId="0" applyFont="1" applyBorder="1" applyAlignment="1" applyProtection="1">
      <alignment horizontal="right" vertical="center" shrinkToFit="1"/>
    </xf>
    <xf numFmtId="0" fontId="61" fillId="0" borderId="14" xfId="0" applyFont="1" applyBorder="1" applyAlignment="1" applyProtection="1">
      <alignment horizontal="right" vertical="center" shrinkToFit="1"/>
      <protection locked="0"/>
    </xf>
    <xf numFmtId="0" fontId="61" fillId="0" borderId="18" xfId="0" applyFont="1" applyBorder="1" applyAlignment="1" applyProtection="1">
      <alignment horizontal="right" vertical="center" shrinkToFit="1"/>
      <protection locked="0"/>
    </xf>
    <xf numFmtId="0" fontId="15" fillId="0" borderId="0" xfId="0" applyFont="1" applyFill="1" applyAlignment="1" applyProtection="1">
      <alignment horizontal="right" vertical="center" shrinkToFit="1"/>
    </xf>
    <xf numFmtId="0" fontId="15" fillId="0" borderId="0" xfId="0" applyFont="1" applyAlignment="1" applyProtection="1">
      <alignment horizontal="right" vertical="center" shrinkToFit="1"/>
    </xf>
    <xf numFmtId="0" fontId="50" fillId="0" borderId="0" xfId="0" applyFont="1" applyAlignment="1" applyProtection="1">
      <alignment horizontal="right" vertical="center" shrinkToFit="1"/>
    </xf>
    <xf numFmtId="0" fontId="11" fillId="0" borderId="12" xfId="0" applyFont="1" applyBorder="1" applyAlignment="1" applyProtection="1">
      <alignment horizontal="right" vertical="top" shrinkToFi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left" vertical="top" shrinkToFit="1"/>
    </xf>
    <xf numFmtId="0" fontId="42" fillId="0" borderId="0" xfId="0" applyFont="1" applyBorder="1" applyAlignment="1" applyProtection="1">
      <alignment horizontal="center" vertical="center" shrinkToFit="1"/>
    </xf>
    <xf numFmtId="3" fontId="15" fillId="2" borderId="13" xfId="0" applyNumberFormat="1" applyFont="1" applyFill="1" applyBorder="1" applyAlignment="1" applyProtection="1">
      <alignment horizontal="center" vertical="center" shrinkToFit="1"/>
    </xf>
    <xf numFmtId="3" fontId="15" fillId="2" borderId="74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72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89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60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73" xfId="0" applyNumberFormat="1" applyFont="1" applyFill="1" applyBorder="1" applyAlignment="1" applyProtection="1">
      <alignment horizontal="center" vertical="center" shrinkToFit="1"/>
    </xf>
    <xf numFmtId="3" fontId="15" fillId="2" borderId="67" xfId="0" applyNumberFormat="1" applyFont="1" applyFill="1" applyBorder="1" applyAlignment="1" applyProtection="1">
      <alignment horizontal="center" vertical="center" shrinkToFit="1"/>
    </xf>
    <xf numFmtId="3" fontId="15" fillId="2" borderId="68" xfId="0" applyNumberFormat="1" applyFont="1" applyFill="1" applyBorder="1" applyAlignment="1" applyProtection="1">
      <alignment horizontal="center" vertical="center" shrinkToFit="1"/>
    </xf>
    <xf numFmtId="49" fontId="4" fillId="2" borderId="73" xfId="0" applyNumberFormat="1" applyFont="1" applyFill="1" applyBorder="1" applyAlignment="1" applyProtection="1">
      <alignment horizontal="center" vertical="center" shrinkToFit="1"/>
    </xf>
    <xf numFmtId="49" fontId="4" fillId="2" borderId="67" xfId="0" applyNumberFormat="1" applyFont="1" applyFill="1" applyBorder="1" applyAlignment="1" applyProtection="1">
      <alignment horizontal="center" vertical="center" shrinkToFit="1"/>
    </xf>
    <xf numFmtId="49" fontId="4" fillId="2" borderId="68" xfId="0" applyNumberFormat="1" applyFont="1" applyFill="1" applyBorder="1" applyAlignment="1" applyProtection="1">
      <alignment horizontal="center" vertical="center" shrinkToFit="1"/>
    </xf>
    <xf numFmtId="0" fontId="42" fillId="0" borderId="0" xfId="0" applyNumberFormat="1" applyFont="1" applyAlignment="1" applyProtection="1">
      <alignment horizontal="right" vertical="top" shrinkToFit="1"/>
    </xf>
    <xf numFmtId="0" fontId="15" fillId="0" borderId="11" xfId="0" applyNumberFormat="1" applyFont="1" applyBorder="1" applyAlignment="1" applyProtection="1">
      <alignment horizontal="right" vertical="center" shrinkToFit="1"/>
    </xf>
    <xf numFmtId="3" fontId="1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0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70" xfId="0" applyNumberFormat="1" applyFont="1" applyFill="1" applyBorder="1" applyAlignment="1" applyProtection="1">
      <alignment horizontal="center" vertical="center" shrinkToFit="1"/>
    </xf>
    <xf numFmtId="0" fontId="15" fillId="8" borderId="0" xfId="0" applyFont="1" applyFill="1" applyAlignment="1" applyProtection="1">
      <alignment horizontal="right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right" shrinkToFit="1"/>
    </xf>
    <xf numFmtId="0" fontId="42" fillId="0" borderId="0" xfId="0" applyFont="1" applyBorder="1" applyAlignment="1" applyProtection="1">
      <alignment horizontal="right" shrinkToFit="1"/>
    </xf>
    <xf numFmtId="0" fontId="42" fillId="0" borderId="45" xfId="0" applyFont="1" applyBorder="1" applyAlignment="1" applyProtection="1">
      <alignment horizontal="center" vertical="center" shrinkToFit="1"/>
    </xf>
    <xf numFmtId="0" fontId="42" fillId="0" borderId="25" xfId="0" applyFont="1" applyBorder="1" applyAlignment="1" applyProtection="1">
      <alignment horizontal="center" vertical="center" shrinkToFit="1"/>
    </xf>
    <xf numFmtId="3" fontId="15" fillId="7" borderId="69" xfId="0" applyNumberFormat="1" applyFont="1" applyFill="1" applyBorder="1" applyAlignment="1" applyProtection="1">
      <alignment horizontal="center" vertical="center" shrinkToFit="1"/>
      <protection locked="0"/>
    </xf>
    <xf numFmtId="3" fontId="15" fillId="7" borderId="7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17" xfId="0" applyFont="1" applyBorder="1" applyAlignment="1" applyProtection="1">
      <alignment horizontal="center" vertical="center" shrinkToFit="1"/>
    </xf>
    <xf numFmtId="3" fontId="15" fillId="7" borderId="68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Alignment="1" applyProtection="1">
      <alignment horizontal="right" vertical="center" shrinkToFit="1"/>
    </xf>
    <xf numFmtId="0" fontId="39" fillId="0" borderId="0" xfId="0" applyFont="1" applyBorder="1" applyAlignment="1" applyProtection="1">
      <alignment horizontal="right" vertical="top" shrinkToFit="1"/>
    </xf>
    <xf numFmtId="0" fontId="4" fillId="0" borderId="0" xfId="0" applyFont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right" vertical="top" shrinkToFit="1"/>
    </xf>
    <xf numFmtId="0" fontId="42" fillId="0" borderId="0" xfId="0" applyFont="1" applyBorder="1" applyAlignment="1" applyProtection="1">
      <alignment horizontal="right" vertical="top" shrinkToFit="1"/>
    </xf>
    <xf numFmtId="0" fontId="5" fillId="5" borderId="69" xfId="0" applyFont="1" applyFill="1" applyBorder="1" applyAlignment="1" applyProtection="1">
      <alignment horizontal="center" shrinkToFit="1"/>
      <protection locked="0"/>
    </xf>
    <xf numFmtId="0" fontId="5" fillId="5" borderId="70" xfId="0" applyFont="1" applyFill="1" applyBorder="1" applyAlignment="1" applyProtection="1">
      <alignment horizontal="center" shrinkToFit="1"/>
      <protection locked="0"/>
    </xf>
    <xf numFmtId="3" fontId="15" fillId="5" borderId="69" xfId="0" applyNumberFormat="1" applyFont="1" applyFill="1" applyBorder="1" applyAlignment="1" applyProtection="1">
      <alignment horizontal="center" vertical="center" shrinkToFit="1"/>
      <protection locked="0"/>
    </xf>
    <xf numFmtId="3" fontId="15" fillId="5" borderId="7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9" xfId="0" applyNumberFormat="1" applyFont="1" applyFill="1" applyBorder="1" applyAlignment="1" applyProtection="1">
      <alignment horizontal="center" vertical="center" shrinkToFit="1"/>
    </xf>
    <xf numFmtId="3" fontId="15" fillId="0" borderId="70" xfId="0" applyNumberFormat="1" applyFont="1" applyFill="1" applyBorder="1" applyAlignment="1" applyProtection="1">
      <alignment horizontal="center" vertical="center" shrinkToFit="1"/>
    </xf>
    <xf numFmtId="0" fontId="4" fillId="0" borderId="73" xfId="0" applyNumberFormat="1" applyFont="1" applyBorder="1" applyAlignment="1" applyProtection="1">
      <alignment horizontal="center" vertical="top" shrinkToFit="1"/>
    </xf>
    <xf numFmtId="0" fontId="4" fillId="0" borderId="70" xfId="0" applyNumberFormat="1" applyFont="1" applyBorder="1" applyAlignment="1" applyProtection="1">
      <alignment horizontal="center" vertical="top" shrinkToFit="1"/>
    </xf>
    <xf numFmtId="0" fontId="11" fillId="2" borderId="13" xfId="0" applyFont="1" applyFill="1" applyBorder="1" applyAlignment="1" applyProtection="1">
      <alignment horizontal="right" vertical="top" shrinkToFit="1"/>
    </xf>
    <xf numFmtId="0" fontId="11" fillId="2" borderId="14" xfId="0" applyFont="1" applyFill="1" applyBorder="1" applyAlignment="1" applyProtection="1">
      <alignment horizontal="right" vertical="top" shrinkToFit="1"/>
    </xf>
    <xf numFmtId="0" fontId="11" fillId="2" borderId="18" xfId="0" applyFont="1" applyFill="1" applyBorder="1" applyAlignment="1" applyProtection="1">
      <alignment horizontal="right" vertical="top" shrinkToFit="1"/>
    </xf>
    <xf numFmtId="0" fontId="4" fillId="0" borderId="12" xfId="0" applyNumberFormat="1" applyFont="1" applyBorder="1" applyAlignment="1" applyProtection="1">
      <alignment horizontal="left" vertical="center" shrinkToFit="1"/>
    </xf>
    <xf numFmtId="0" fontId="42" fillId="0" borderId="0" xfId="0" applyNumberFormat="1" applyFont="1" applyAlignment="1" applyProtection="1">
      <alignment horizontal="right" vertical="center" shrinkToFit="1"/>
    </xf>
    <xf numFmtId="0" fontId="5" fillId="0" borderId="11" xfId="0" applyNumberFormat="1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top" shrinkToFit="1"/>
    </xf>
    <xf numFmtId="0" fontId="4" fillId="0" borderId="15" xfId="0" applyFont="1" applyBorder="1" applyAlignment="1" applyProtection="1">
      <alignment horizontal="center" shrinkToFit="1"/>
    </xf>
    <xf numFmtId="0" fontId="4" fillId="0" borderId="25" xfId="0" applyFont="1" applyBorder="1" applyAlignment="1" applyProtection="1">
      <alignment horizontal="center" shrinkToFit="1"/>
    </xf>
    <xf numFmtId="0" fontId="4" fillId="0" borderId="45" xfId="0" applyFont="1" applyBorder="1" applyAlignment="1" applyProtection="1">
      <alignment horizontal="center" shrinkToFit="1"/>
    </xf>
    <xf numFmtId="3" fontId="15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15" fillId="2" borderId="7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69" xfId="0" applyNumberFormat="1" applyFont="1" applyBorder="1" applyAlignment="1" applyProtection="1">
      <alignment horizontal="center" vertical="center" shrinkToFit="1"/>
    </xf>
    <xf numFmtId="3" fontId="15" fillId="0" borderId="70" xfId="0" applyNumberFormat="1" applyFont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center" shrinkToFit="1"/>
    </xf>
    <xf numFmtId="0" fontId="6" fillId="0" borderId="25" xfId="0" applyFont="1" applyBorder="1" applyAlignment="1" applyProtection="1">
      <alignment horizont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horizontal="right" vertical="top" shrinkToFit="1"/>
    </xf>
    <xf numFmtId="0" fontId="6" fillId="0" borderId="15" xfId="0" applyFont="1" applyBorder="1" applyAlignment="1" applyProtection="1">
      <alignment horizontal="center" shrinkToFit="1"/>
    </xf>
    <xf numFmtId="0" fontId="7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6">
    <cellStyle name="Comma 3" xfId="5"/>
    <cellStyle name="Currency 3" xfId="3"/>
    <cellStyle name="Hyperlink" xfId="4" builtinId="8"/>
    <cellStyle name="Normal" xfId="0" builtinId="0"/>
    <cellStyle name="Normal 5 2" xfId="1"/>
    <cellStyle name="Normal 7" xfId="2"/>
  </cellStyles>
  <dxfs count="0"/>
  <tableStyles count="0" defaultTableStyle="TableStyleMedium9" defaultPivotStyle="PivotStyleLight16"/>
  <colors>
    <mruColors>
      <color rgb="FF74913B"/>
      <color rgb="FF6893C6"/>
      <color rgb="FF97B854"/>
      <color rgb="FFA1BF65"/>
      <color rgb="FF5E8BC2"/>
      <color rgb="FF4070AA"/>
      <color rgb="FF7A9FCC"/>
      <color rgb="FF66CCFF"/>
      <color rgb="FFCFB145"/>
      <color rgb="FFD23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&#1575;&#1576;&#1604;&#1575;&#1594;&#1740;'!A1"/><Relationship Id="rId13" Type="http://schemas.openxmlformats.org/officeDocument/2006/relationships/hyperlink" Target="#'7'!A1"/><Relationship Id="rId18" Type="http://schemas.openxmlformats.org/officeDocument/2006/relationships/hyperlink" Target="#'11'!A1"/><Relationship Id="rId26" Type="http://schemas.openxmlformats.org/officeDocument/2006/relationships/hyperlink" Target="#'&#1585;&#1608; &#1705;&#1588; &#1578;&#1585;&#1575;&#1586; '!A1"/><Relationship Id="rId3" Type="http://schemas.openxmlformats.org/officeDocument/2006/relationships/image" Target="../media/image3.png"/><Relationship Id="rId21" Type="http://schemas.openxmlformats.org/officeDocument/2006/relationships/hyperlink" Target="#'14&#1575;&#1587;&#1578;&#1575;&#1606;&#1740;'!A1"/><Relationship Id="rId7" Type="http://schemas.openxmlformats.org/officeDocument/2006/relationships/hyperlink" Target="#'  5 &#1575;&#1587;&#1578;&#1575;&#1606;&#1740;'!A1"/><Relationship Id="rId12" Type="http://schemas.openxmlformats.org/officeDocument/2006/relationships/hyperlink" Target="#'6'!A1"/><Relationship Id="rId17" Type="http://schemas.openxmlformats.org/officeDocument/2006/relationships/hyperlink" Target="#'10'!A1"/><Relationship Id="rId25" Type="http://schemas.openxmlformats.org/officeDocument/2006/relationships/hyperlink" Target="#'15&#1575;&#1576;&#1604;&#1575;&#1594;&#1740;'!A1"/><Relationship Id="rId2" Type="http://schemas.openxmlformats.org/officeDocument/2006/relationships/image" Target="../media/image2.jpeg"/><Relationship Id="rId16" Type="http://schemas.openxmlformats.org/officeDocument/2006/relationships/hyperlink" Target="#'9'!A1"/><Relationship Id="rId20" Type="http://schemas.openxmlformats.org/officeDocument/2006/relationships/hyperlink" Target="#'13 &#1575;&#1587;&#1578;&#1575;&#1606;&#1740;'!A1"/><Relationship Id="rId29" Type="http://schemas.openxmlformats.org/officeDocument/2006/relationships/hyperlink" Target="#&#1585;&#1575;&#1607;&#1606;&#1605;&#1575;!A1"/><Relationship Id="rId1" Type="http://schemas.openxmlformats.org/officeDocument/2006/relationships/image" Target="../media/image1.jpeg"/><Relationship Id="rId6" Type="http://schemas.openxmlformats.org/officeDocument/2006/relationships/hyperlink" Target="#'4&#1575;&#1587;&#1578;&#1575;&#1606;&#1740; '!A1"/><Relationship Id="rId11" Type="http://schemas.openxmlformats.org/officeDocument/2006/relationships/hyperlink" Target="#'5 &#1575;&#1576;&#1604;&#1575;&#1594;&#1740;'!A1"/><Relationship Id="rId24" Type="http://schemas.openxmlformats.org/officeDocument/2006/relationships/hyperlink" Target="#'15&#1575;&#1587;&#1578;&#1575;&#1606;&#1740;'!A1"/><Relationship Id="rId5" Type="http://schemas.openxmlformats.org/officeDocument/2006/relationships/hyperlink" Target="#' 3'!A1"/><Relationship Id="rId15" Type="http://schemas.openxmlformats.org/officeDocument/2006/relationships/hyperlink" Target="#' 8'!A1"/><Relationship Id="rId23" Type="http://schemas.openxmlformats.org/officeDocument/2006/relationships/hyperlink" Target="#'14&#1575;&#1576;&#1604;&#1575;&#1594;&#1740;'!A1"/><Relationship Id="rId28" Type="http://schemas.openxmlformats.org/officeDocument/2006/relationships/hyperlink" Target="#'&#1589;&#1601;&#1581;&#1607; &#1575;&#1589;&#1604;&#1740;'!B139"/><Relationship Id="rId10" Type="http://schemas.openxmlformats.org/officeDocument/2006/relationships/hyperlink" Target="#'4&#1575;&#1576;&#1604;&#1575;&#1594;&#1740;'!A1"/><Relationship Id="rId19" Type="http://schemas.openxmlformats.org/officeDocument/2006/relationships/hyperlink" Target="#'12'!A1"/><Relationship Id="rId4" Type="http://schemas.openxmlformats.org/officeDocument/2006/relationships/hyperlink" Target="#'2'!A1"/><Relationship Id="rId9" Type="http://schemas.openxmlformats.org/officeDocument/2006/relationships/hyperlink" Target="#'3 &#1575;&#1576;&#1604;&#1575;&#1594;&#1740;'!A1"/><Relationship Id="rId14" Type="http://schemas.openxmlformats.org/officeDocument/2006/relationships/hyperlink" Target="#'1'!A1"/><Relationship Id="rId22" Type="http://schemas.openxmlformats.org/officeDocument/2006/relationships/hyperlink" Target="#'13 &#1575;&#1576;&#1604;&#1575;&#1594;&#1740;'!A1"/><Relationship Id="rId27" Type="http://schemas.openxmlformats.org/officeDocument/2006/relationships/hyperlink" Target="#'&#1589;&#1601;&#1581;&#1607; &#1575;&#1589;&#1604;&#1740;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1589;&#1601;&#1581;&#1607; &#1575;&#1589;&#1604;&#174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1910045</xdr:colOff>
      <xdr:row>1</xdr:row>
      <xdr:rowOff>93010</xdr:rowOff>
    </xdr:from>
    <xdr:to>
      <xdr:col>8</xdr:col>
      <xdr:colOff>273326</xdr:colOff>
      <xdr:row>4</xdr:row>
      <xdr:rowOff>520235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1178488924" y="537510"/>
          <a:ext cx="6650031" cy="2268725"/>
        </a:xfrm>
        <a:prstGeom prst="roundRect">
          <a:avLst>
            <a:gd name="adj" fmla="val 9453"/>
          </a:avLst>
        </a:prstGeom>
        <a:solidFill>
          <a:srgbClr val="CFB145"/>
        </a:solidFill>
        <a:ln>
          <a:headEnd/>
          <a:tailEnd/>
        </a:ln>
        <a:scene3d>
          <a:camera prst="orthographicFront"/>
          <a:lightRig rig="soft" dir="tl">
            <a:rot lat="0" lon="0" rev="0"/>
          </a:lightRig>
        </a:scene3d>
        <a:sp3d>
          <a:bevelT prst="convex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91440" tIns="45720" rIns="91440" bIns="45720" anchor="ctr" upright="1"/>
        <a:lstStyle/>
        <a:p>
          <a:pPr marL="0" indent="0" algn="ctr" rtl="1">
            <a:defRPr sz="1000"/>
          </a:pPr>
          <a:r>
            <a:rPr lang="fa-IR" sz="2000" b="1" i="0" strike="noStrike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abic Typesetting" pitchFamily="66" charset="-78"/>
              <a:ea typeface="+mn-ea"/>
              <a:cs typeface="40c_Badr" pitchFamily="2" charset="-78"/>
            </a:rPr>
            <a:t>وزارت امور اقتصادی و دارایی</a:t>
          </a:r>
          <a:endParaRPr lang="en-US" sz="2000" b="1" i="0" strike="noStrike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abic Typesetting" pitchFamily="66" charset="-78"/>
            <a:ea typeface="+mn-ea"/>
            <a:cs typeface="40c_Badr" pitchFamily="2" charset="-78"/>
          </a:endParaRPr>
        </a:p>
        <a:p>
          <a:pPr marL="0" indent="0" algn="ctr" rtl="1">
            <a:defRPr sz="1000"/>
          </a:pPr>
          <a:endParaRPr lang="en-US" sz="600" b="1" i="0" strike="noStrike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abic Typesetting" pitchFamily="66" charset="-78"/>
            <a:ea typeface="+mn-ea"/>
            <a:cs typeface="40c_Badr" pitchFamily="2" charset="-78"/>
          </a:endParaRPr>
        </a:p>
        <a:p>
          <a:pPr marL="0" indent="0" algn="ctr" rtl="1">
            <a:defRPr sz="1000"/>
          </a:pPr>
          <a:endParaRPr lang="fa-IR" sz="100" b="1" i="0" strike="noStrike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abic Typesetting" pitchFamily="66" charset="-78"/>
            <a:ea typeface="+mn-ea"/>
            <a:cs typeface="40c_Badr" pitchFamily="2" charset="-78"/>
          </a:endParaRPr>
        </a:p>
        <a:p>
          <a:pPr marL="0" indent="0" algn="ctr" rtl="1">
            <a:defRPr sz="1000"/>
          </a:pPr>
          <a:r>
            <a:rPr lang="fa-IR" sz="2000" b="1" i="0" strike="noStrike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abic Typesetting" pitchFamily="66" charset="-78"/>
              <a:ea typeface="+mn-ea"/>
              <a:cs typeface="40c_Badr" pitchFamily="2" charset="-78"/>
            </a:rPr>
            <a:t>اداره کل تمرکز و تلفیق حسابها و روشهای حسابداری</a:t>
          </a:r>
          <a:endParaRPr lang="en-US" sz="2000" b="1" i="0" strike="noStrike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abic Typesetting" pitchFamily="66" charset="-78"/>
            <a:ea typeface="+mn-ea"/>
            <a:cs typeface="40c_Badr" pitchFamily="2" charset="-78"/>
          </a:endParaRPr>
        </a:p>
        <a:p>
          <a:pPr marL="0" indent="0" algn="ctr" rtl="1">
            <a:defRPr sz="1000"/>
          </a:pPr>
          <a:endParaRPr lang="en-US" sz="1050" b="1" i="0" strike="noStrike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abic Typesetting" pitchFamily="66" charset="-78"/>
            <a:ea typeface="+mn-ea"/>
            <a:cs typeface="40c_Badr" pitchFamily="2" charset="-78"/>
          </a:endParaRPr>
        </a:p>
        <a:p>
          <a:pPr marL="0" indent="0" algn="ctr" rtl="1">
            <a:defRPr sz="1000"/>
          </a:pPr>
          <a:endParaRPr lang="fa-IR" sz="100" b="1" i="0" strike="noStrike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abic Typesetting" pitchFamily="66" charset="-78"/>
            <a:ea typeface="+mn-ea"/>
            <a:cs typeface="40c_Badr" pitchFamily="2" charset="-78"/>
          </a:endParaRPr>
        </a:p>
        <a:p>
          <a:pPr marL="0" indent="0" algn="ctr" rtl="1">
            <a:defRPr sz="1000"/>
          </a:pPr>
          <a:r>
            <a:rPr lang="fa-IR" sz="2000" b="1" i="0" strike="noStrike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abic Typesetting" pitchFamily="66" charset="-78"/>
              <a:ea typeface="+mn-ea"/>
              <a:cs typeface="40c_Badr" pitchFamily="2" charset="-78"/>
            </a:rPr>
            <a:t>گروه تمرکز و تلفیق حسابها و روشهای حسابداری استان خراسان جنوبی</a:t>
          </a:r>
        </a:p>
        <a:p>
          <a:pPr marL="0" indent="0" algn="ctr" rtl="1">
            <a:defRPr sz="1000"/>
          </a:pPr>
          <a:endParaRPr lang="fa-IR" sz="1400" b="1" i="0" strike="noStrike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abic Typesetting" pitchFamily="66" charset="-78"/>
            <a:ea typeface="+mn-ea"/>
            <a:cs typeface="Arabic Typesetting" pitchFamily="66" charset="-78"/>
          </a:endParaRPr>
        </a:p>
      </xdr:txBody>
    </xdr:sp>
    <xdr:clientData/>
  </xdr:twoCellAnchor>
  <xdr:twoCellAnchor>
    <xdr:from>
      <xdr:col>1</xdr:col>
      <xdr:colOff>22410</xdr:colOff>
      <xdr:row>4</xdr:row>
      <xdr:rowOff>560296</xdr:rowOff>
    </xdr:from>
    <xdr:to>
      <xdr:col>3</xdr:col>
      <xdr:colOff>13606</xdr:colOff>
      <xdr:row>5</xdr:row>
      <xdr:rowOff>762000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11145733180" y="2397260"/>
          <a:ext cx="4685660" cy="773204"/>
        </a:xfrm>
        <a:prstGeom prst="roundRect">
          <a:avLst>
            <a:gd name="adj" fmla="val 10860"/>
          </a:avLst>
        </a:prstGeom>
        <a:solidFill>
          <a:srgbClr val="74913B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/>
          <a:r>
            <a:rPr lang="fa-IR" sz="24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مشخصات دستگاه اجرایی</a:t>
          </a:r>
        </a:p>
      </xdr:txBody>
    </xdr:sp>
    <xdr:clientData/>
  </xdr:twoCellAnchor>
  <xdr:twoCellAnchor>
    <xdr:from>
      <xdr:col>3</xdr:col>
      <xdr:colOff>27217</xdr:colOff>
      <xdr:row>4</xdr:row>
      <xdr:rowOff>557892</xdr:rowOff>
    </xdr:from>
    <xdr:to>
      <xdr:col>10</xdr:col>
      <xdr:colOff>707572</xdr:colOff>
      <xdr:row>5</xdr:row>
      <xdr:rowOff>761999</xdr:rowOff>
    </xdr:to>
    <xdr:sp macro="" textlink="">
      <xdr:nvSpPr>
        <xdr:cNvPr id="25" name="AutoShape 1"/>
        <xdr:cNvSpPr>
          <a:spLocks noChangeArrowheads="1"/>
        </xdr:cNvSpPr>
      </xdr:nvSpPr>
      <xdr:spPr bwMode="auto">
        <a:xfrm>
          <a:off x="11139501106" y="2830285"/>
          <a:ext cx="5728605" cy="775607"/>
        </a:xfrm>
        <a:prstGeom prst="roundRect">
          <a:avLst>
            <a:gd name="adj" fmla="val 10860"/>
          </a:avLst>
        </a:prstGeom>
        <a:solidFill>
          <a:srgbClr val="6893C6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/>
          <a:r>
            <a:rPr lang="fa-IR" sz="24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فرمهای عملکرد اعتبارات هزينه اي</a:t>
          </a:r>
          <a:r>
            <a:rPr lang="en-US" sz="24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</a:t>
          </a:r>
          <a:endParaRPr lang="fa-IR" sz="2400" b="0" cap="none" spc="0">
            <a:ln w="1905"/>
            <a:solidFill>
              <a:schemeClr val="accent4">
                <a:lumMod val="50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ea typeface="+mn-ea"/>
            <a:cs typeface="IranNastaliq" pitchFamily="18" charset="0"/>
          </a:endParaRPr>
        </a:p>
      </xdr:txBody>
    </xdr:sp>
    <xdr:clientData/>
  </xdr:twoCellAnchor>
  <xdr:twoCellAnchor>
    <xdr:from>
      <xdr:col>1</xdr:col>
      <xdr:colOff>35719</xdr:colOff>
      <xdr:row>1</xdr:row>
      <xdr:rowOff>130970</xdr:rowOff>
    </xdr:from>
    <xdr:to>
      <xdr:col>1</xdr:col>
      <xdr:colOff>1864179</xdr:colOff>
      <xdr:row>4</xdr:row>
      <xdr:rowOff>523876</xdr:rowOff>
    </xdr:to>
    <xdr:sp macro="" textlink="">
      <xdr:nvSpPr>
        <xdr:cNvPr id="34" name="AutoShape 1"/>
        <xdr:cNvSpPr>
          <a:spLocks noChangeArrowheads="1"/>
        </xdr:cNvSpPr>
      </xdr:nvSpPr>
      <xdr:spPr bwMode="auto">
        <a:xfrm>
          <a:off x="11316038477" y="130970"/>
          <a:ext cx="1828460" cy="2250281"/>
        </a:xfrm>
        <a:prstGeom prst="roundRect">
          <a:avLst>
            <a:gd name="adj" fmla="val 9481"/>
          </a:avLst>
        </a:prstGeom>
        <a:blipFill>
          <a:blip xmlns:r="http://schemas.openxmlformats.org/officeDocument/2006/relationships" r:embed="rId1"/>
          <a:stretch>
            <a:fillRect/>
          </a:stretch>
        </a:blipFill>
        <a:ln>
          <a:solidFill>
            <a:srgbClr val="640000"/>
          </a:solidFill>
          <a:headEnd/>
          <a:tailEnd/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0</xdr:col>
      <xdr:colOff>-109187148</xdr:colOff>
      <xdr:row>12</xdr:row>
      <xdr:rowOff>11241</xdr:rowOff>
    </xdr:from>
    <xdr:to>
      <xdr:col>0</xdr:col>
      <xdr:colOff>-107403811</xdr:colOff>
      <xdr:row>13</xdr:row>
      <xdr:rowOff>11243</xdr:rowOff>
    </xdr:to>
    <xdr:sp macro="" textlink="">
      <xdr:nvSpPr>
        <xdr:cNvPr id="70" name="AutoShape 1"/>
        <xdr:cNvSpPr>
          <a:spLocks noChangeArrowheads="1"/>
        </xdr:cNvSpPr>
      </xdr:nvSpPr>
      <xdr:spPr bwMode="auto">
        <a:xfrm>
          <a:off x="11258566240" y="6501848"/>
          <a:ext cx="1783337" cy="571502"/>
        </a:xfrm>
        <a:prstGeom prst="roundRect">
          <a:avLst>
            <a:gd name="adj" fmla="val 19481"/>
          </a:avLst>
        </a:prstGeom>
        <a:solidFill>
          <a:srgbClr val="3E5C98"/>
        </a:solidFill>
        <a:ln>
          <a:noFill/>
          <a:headEnd/>
          <a:tailEnd/>
        </a:ln>
        <a:effectLst>
          <a:outerShdw blurRad="50800" dist="38100" dir="6900000" sx="1000" sy="1000" algn="bl" rotWithShape="0">
            <a:prstClr val="black">
              <a:alpha val="46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="horz" anchor="ctr" anchorCtr="0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indent="0" algn="ctr" rtl="1"/>
          <a:r>
            <a:rPr lang="fa-IR" sz="2000" b="0" cap="none" spc="0">
              <a:ln w="1905"/>
              <a:solidFill>
                <a:schemeClr val="tx1">
                  <a:lumMod val="95000"/>
                  <a:lumOff val="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فرم5</a:t>
          </a:r>
          <a:r>
            <a:rPr lang="fa-IR" sz="2000" b="0" cap="none" spc="50">
              <a:ln w="11430">
                <a:noFill/>
              </a:ln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IranNastaliq" pitchFamily="18" charset="0"/>
              <a:ea typeface="+mn-ea"/>
              <a:cs typeface="IranNastaliq" pitchFamily="18" charset="0"/>
            </a:rPr>
            <a:t> (ابلاغی)</a:t>
          </a:r>
        </a:p>
      </xdr:txBody>
    </xdr:sp>
    <xdr:clientData/>
  </xdr:twoCellAnchor>
  <xdr:twoCellAnchor>
    <xdr:from>
      <xdr:col>0</xdr:col>
      <xdr:colOff>-80717752</xdr:colOff>
      <xdr:row>6</xdr:row>
      <xdr:rowOff>14968</xdr:rowOff>
    </xdr:from>
    <xdr:to>
      <xdr:col>0</xdr:col>
      <xdr:colOff>-78921609</xdr:colOff>
      <xdr:row>7</xdr:row>
      <xdr:rowOff>28577</xdr:rowOff>
    </xdr:to>
    <xdr:sp macro="" textlink="">
      <xdr:nvSpPr>
        <xdr:cNvPr id="71" name="AutoShape 1"/>
        <xdr:cNvSpPr>
          <a:spLocks noChangeArrowheads="1"/>
        </xdr:cNvSpPr>
      </xdr:nvSpPr>
      <xdr:spPr bwMode="auto">
        <a:xfrm>
          <a:off x="11230084038" y="3076575"/>
          <a:ext cx="1796143" cy="585109"/>
        </a:xfrm>
        <a:prstGeom prst="roundRect">
          <a:avLst>
            <a:gd name="adj" fmla="val 19481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accent4">
              <a:lumMod val="50000"/>
            </a:schemeClr>
          </a:solidFill>
          <a:headEnd/>
          <a:tailEnd/>
        </a:ln>
        <a:effectLst>
          <a:outerShdw blurRad="50800" dist="38100" dir="16200000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tx1">
                  <a:lumMod val="95000"/>
                  <a:lumOff val="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فرم6 (اختصاصی)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2634343</xdr:colOff>
      <xdr:row>8</xdr:row>
      <xdr:rowOff>548368</xdr:rowOff>
    </xdr:to>
    <xdr:sp macro="" textlink="">
      <xdr:nvSpPr>
        <xdr:cNvPr id="91" name="AutoShape 1"/>
        <xdr:cNvSpPr>
          <a:spLocks noChangeArrowheads="1"/>
        </xdr:cNvSpPr>
      </xdr:nvSpPr>
      <xdr:spPr bwMode="auto">
        <a:xfrm>
          <a:off x="11236884707" y="4352925"/>
          <a:ext cx="2634343" cy="548368"/>
        </a:xfrm>
        <a:prstGeom prst="roundRect">
          <a:avLst>
            <a:gd name="adj" fmla="val 12515"/>
          </a:avLst>
        </a:prstGeom>
        <a:solidFill>
          <a:schemeClr val="accent3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سال عملکرد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2634343</xdr:colOff>
      <xdr:row>9</xdr:row>
      <xdr:rowOff>548368</xdr:rowOff>
    </xdr:to>
    <xdr:sp macro="" textlink="">
      <xdr:nvSpPr>
        <xdr:cNvPr id="92" name="AutoShape 1"/>
        <xdr:cNvSpPr>
          <a:spLocks noChangeArrowheads="1"/>
        </xdr:cNvSpPr>
      </xdr:nvSpPr>
      <xdr:spPr bwMode="auto">
        <a:xfrm>
          <a:off x="11236884707" y="4924425"/>
          <a:ext cx="2634343" cy="548368"/>
        </a:xfrm>
        <a:prstGeom prst="roundRect">
          <a:avLst>
            <a:gd name="adj" fmla="val 12515"/>
          </a:avLst>
        </a:prstGeom>
        <a:solidFill>
          <a:schemeClr val="accent3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    رییس اداره اعتبارات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2634343</xdr:colOff>
      <xdr:row>10</xdr:row>
      <xdr:rowOff>548368</xdr:rowOff>
    </xdr:to>
    <xdr:sp macro="" textlink="">
      <xdr:nvSpPr>
        <xdr:cNvPr id="93" name="AutoShape 1"/>
        <xdr:cNvSpPr>
          <a:spLocks noChangeArrowheads="1"/>
        </xdr:cNvSpPr>
      </xdr:nvSpPr>
      <xdr:spPr bwMode="auto">
        <a:xfrm>
          <a:off x="11236884707" y="5495925"/>
          <a:ext cx="2634343" cy="548368"/>
        </a:xfrm>
        <a:prstGeom prst="roundRect">
          <a:avLst>
            <a:gd name="adj" fmla="val 12515"/>
          </a:avLst>
        </a:prstGeom>
        <a:solidFill>
          <a:schemeClr val="accent3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8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   رییس اداره دفترداری وتنظیم حسابها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2634343</xdr:colOff>
      <xdr:row>11</xdr:row>
      <xdr:rowOff>548368</xdr:rowOff>
    </xdr:to>
    <xdr:sp macro="" textlink="">
      <xdr:nvSpPr>
        <xdr:cNvPr id="94" name="AutoShape 1"/>
        <xdr:cNvSpPr>
          <a:spLocks noChangeArrowheads="1"/>
        </xdr:cNvSpPr>
      </xdr:nvSpPr>
      <xdr:spPr bwMode="auto">
        <a:xfrm>
          <a:off x="11236884707" y="6067425"/>
          <a:ext cx="2634343" cy="548368"/>
        </a:xfrm>
        <a:prstGeom prst="roundRect">
          <a:avLst>
            <a:gd name="adj" fmla="val 12515"/>
          </a:avLst>
        </a:prstGeom>
        <a:solidFill>
          <a:schemeClr val="accent3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ذیحساب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2605768</xdr:colOff>
      <xdr:row>12</xdr:row>
      <xdr:rowOff>548368</xdr:rowOff>
    </xdr:to>
    <xdr:sp macro="" textlink="">
      <xdr:nvSpPr>
        <xdr:cNvPr id="95" name="AutoShape 1"/>
        <xdr:cNvSpPr>
          <a:spLocks noChangeArrowheads="1"/>
        </xdr:cNvSpPr>
      </xdr:nvSpPr>
      <xdr:spPr bwMode="auto">
        <a:xfrm>
          <a:off x="11236884707" y="6638925"/>
          <a:ext cx="2634343" cy="548368"/>
        </a:xfrm>
        <a:prstGeom prst="roundRect">
          <a:avLst>
            <a:gd name="adj" fmla="val 12515"/>
          </a:avLst>
        </a:prstGeom>
        <a:solidFill>
          <a:schemeClr val="accent3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    رییس دستگاه اجرایی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2634343</xdr:colOff>
      <xdr:row>7</xdr:row>
      <xdr:rowOff>548368</xdr:rowOff>
    </xdr:to>
    <xdr:sp macro="" textlink="">
      <xdr:nvSpPr>
        <xdr:cNvPr id="96" name="AutoShape 1"/>
        <xdr:cNvSpPr>
          <a:spLocks noChangeArrowheads="1"/>
        </xdr:cNvSpPr>
      </xdr:nvSpPr>
      <xdr:spPr bwMode="auto">
        <a:xfrm>
          <a:off x="11236884707" y="3781425"/>
          <a:ext cx="2634343" cy="548368"/>
        </a:xfrm>
        <a:prstGeom prst="roundRect">
          <a:avLst>
            <a:gd name="adj" fmla="val 12515"/>
          </a:avLst>
        </a:prstGeom>
        <a:solidFill>
          <a:schemeClr val="accent3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ردیف دستگاه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2634343</xdr:colOff>
      <xdr:row>6</xdr:row>
      <xdr:rowOff>548368</xdr:rowOff>
    </xdr:to>
    <xdr:sp macro="" textlink="">
      <xdr:nvSpPr>
        <xdr:cNvPr id="97" name="AutoShape 1"/>
        <xdr:cNvSpPr>
          <a:spLocks noChangeArrowheads="1"/>
        </xdr:cNvSpPr>
      </xdr:nvSpPr>
      <xdr:spPr bwMode="auto">
        <a:xfrm>
          <a:off x="11236884707" y="3209925"/>
          <a:ext cx="2634343" cy="548368"/>
        </a:xfrm>
        <a:prstGeom prst="roundRect">
          <a:avLst>
            <a:gd name="adj" fmla="val 12515"/>
          </a:avLst>
        </a:prstGeom>
        <a:solidFill>
          <a:schemeClr val="accent3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نام دستگاه</a:t>
          </a:r>
        </a:p>
      </xdr:txBody>
    </xdr:sp>
    <xdr:clientData/>
  </xdr:twoCellAnchor>
  <xdr:twoCellAnchor>
    <xdr:from>
      <xdr:col>8</xdr:col>
      <xdr:colOff>315330</xdr:colOff>
      <xdr:row>1</xdr:row>
      <xdr:rowOff>118619</xdr:rowOff>
    </xdr:from>
    <xdr:to>
      <xdr:col>10</xdr:col>
      <xdr:colOff>707467</xdr:colOff>
      <xdr:row>4</xdr:row>
      <xdr:rowOff>511525</xdr:rowOff>
    </xdr:to>
    <xdr:sp macro="" textlink="">
      <xdr:nvSpPr>
        <xdr:cNvPr id="98" name="AutoShape 1"/>
        <xdr:cNvSpPr>
          <a:spLocks noChangeArrowheads="1"/>
        </xdr:cNvSpPr>
      </xdr:nvSpPr>
      <xdr:spPr bwMode="auto">
        <a:xfrm>
          <a:off x="11255730468" y="557597"/>
          <a:ext cx="1816745" cy="2239928"/>
        </a:xfrm>
        <a:prstGeom prst="roundRect">
          <a:avLst>
            <a:gd name="adj" fmla="val 9481"/>
          </a:avLst>
        </a:prstGeom>
        <a:blipFill>
          <a:blip xmlns:r="http://schemas.openxmlformats.org/officeDocument/2006/relationships" r:embed="rId2"/>
          <a:stretch>
            <a:fillRect/>
          </a:stretch>
        </a:blipFill>
        <a:ln>
          <a:solidFill>
            <a:srgbClr val="640000"/>
          </a:solidFill>
          <a:headEnd/>
          <a:tailEnd/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 editAs="oneCell">
    <xdr:from>
      <xdr:col>0</xdr:col>
      <xdr:colOff>-78867181</xdr:colOff>
      <xdr:row>9</xdr:row>
      <xdr:rowOff>14968</xdr:rowOff>
    </xdr:from>
    <xdr:to>
      <xdr:col>0</xdr:col>
      <xdr:colOff>-77928316</xdr:colOff>
      <xdr:row>10</xdr:row>
      <xdr:rowOff>71410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9036316" y="5362575"/>
          <a:ext cx="938865" cy="62794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707391</xdr:colOff>
      <xdr:row>7</xdr:row>
      <xdr:rowOff>554365</xdr:rowOff>
    </xdr:to>
    <xdr:sp macro="" textlink="">
      <xdr:nvSpPr>
        <xdr:cNvPr id="41" name="AutoShape 1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11232896634" y="42195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فرم2</a:t>
          </a:r>
          <a:r>
            <a:rPr lang="fa-IR" sz="2000" b="0" cap="none" spc="0" baseline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(استانی)</a:t>
          </a:r>
          <a:endParaRPr lang="fa-IR" sz="2000" b="0" cap="none" spc="0">
            <a:ln w="1905"/>
            <a:solidFill>
              <a:schemeClr val="accent4">
                <a:lumMod val="50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ea typeface="+mn-ea"/>
            <a:cs typeface="IranNastaliq" pitchFamily="18" charset="0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707391</xdr:colOff>
      <xdr:row>8</xdr:row>
      <xdr:rowOff>554365</xdr:rowOff>
    </xdr:to>
    <xdr:sp macro="" textlink="">
      <xdr:nvSpPr>
        <xdr:cNvPr id="48" name="AutoShape 1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11196221462" y="4796118"/>
          <a:ext cx="1424568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3 (استانی)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707391</xdr:colOff>
      <xdr:row>9</xdr:row>
      <xdr:rowOff>554365</xdr:rowOff>
    </xdr:to>
    <xdr:sp macro="" textlink="">
      <xdr:nvSpPr>
        <xdr:cNvPr id="49" name="AutoShape 1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11196221462" y="5367618"/>
          <a:ext cx="1424568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4 (استانی)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707391</xdr:colOff>
      <xdr:row>10</xdr:row>
      <xdr:rowOff>554365</xdr:rowOff>
    </xdr:to>
    <xdr:sp macro="" textlink="">
      <xdr:nvSpPr>
        <xdr:cNvPr id="50" name="AutoShape 1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11196221462" y="5939118"/>
          <a:ext cx="1424568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5 (استانی)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707391</xdr:colOff>
      <xdr:row>11</xdr:row>
      <xdr:rowOff>554365</xdr:rowOff>
    </xdr:to>
    <xdr:sp macro="" textlink="">
      <xdr:nvSpPr>
        <xdr:cNvPr id="51" name="AutoShape 1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11196221462" y="6510618"/>
          <a:ext cx="1424568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2 (ابلاغی)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707391</xdr:colOff>
      <xdr:row>12</xdr:row>
      <xdr:rowOff>554365</xdr:rowOff>
    </xdr:to>
    <xdr:sp macro="" textlink="">
      <xdr:nvSpPr>
        <xdr:cNvPr id="62" name="AutoShape 1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11232896634" y="70770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3 (ابلاغی)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707391</xdr:colOff>
      <xdr:row>6</xdr:row>
      <xdr:rowOff>554365</xdr:rowOff>
    </xdr:to>
    <xdr:sp macro="" textlink="">
      <xdr:nvSpPr>
        <xdr:cNvPr id="68" name="AutoShape 1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11231467884" y="36480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4 (ابلاغی)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707391</xdr:colOff>
      <xdr:row>7</xdr:row>
      <xdr:rowOff>554365</xdr:rowOff>
    </xdr:to>
    <xdr:sp macro="" textlink="">
      <xdr:nvSpPr>
        <xdr:cNvPr id="69" name="AutoShape 1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11231467884" y="42195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5</a:t>
          </a:r>
          <a:r>
            <a:rPr lang="fa-IR" sz="2000" b="0" cap="none" spc="0" baseline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(ابلاغی)</a:t>
          </a:r>
          <a:endParaRPr lang="fa-IR" sz="2000" b="0" cap="none" spc="0">
            <a:ln w="1905"/>
            <a:solidFill>
              <a:schemeClr val="accent4">
                <a:lumMod val="50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ea typeface="+mn-ea"/>
            <a:cs typeface="IranNastaliq" pitchFamily="18" charset="0"/>
          </a:endParaRP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707391</xdr:colOff>
      <xdr:row>8</xdr:row>
      <xdr:rowOff>554365</xdr:rowOff>
    </xdr:to>
    <xdr:sp macro="" textlink="">
      <xdr:nvSpPr>
        <xdr:cNvPr id="72" name="AutoShape 1">
          <a:hlinkClick xmlns:r="http://schemas.openxmlformats.org/officeDocument/2006/relationships" r:id="rId12"/>
        </xdr:cNvPr>
        <xdr:cNvSpPr>
          <a:spLocks noChangeArrowheads="1"/>
        </xdr:cNvSpPr>
      </xdr:nvSpPr>
      <xdr:spPr bwMode="auto">
        <a:xfrm>
          <a:off x="11231467884" y="47910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فرم6 (اختصاصی)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707391</xdr:colOff>
      <xdr:row>9</xdr:row>
      <xdr:rowOff>554365</xdr:rowOff>
    </xdr:to>
    <xdr:sp macro="" textlink="">
      <xdr:nvSpPr>
        <xdr:cNvPr id="73" name="AutoShape 1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11231467884" y="53625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 7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707391</xdr:colOff>
      <xdr:row>6</xdr:row>
      <xdr:rowOff>554365</xdr:rowOff>
    </xdr:to>
    <xdr:sp macro="" textlink="">
      <xdr:nvSpPr>
        <xdr:cNvPr id="74" name="AutoShape 1">
          <a:hlinkClick xmlns:r="http://schemas.openxmlformats.org/officeDocument/2006/relationships" r:id="rId14"/>
        </xdr:cNvPr>
        <xdr:cNvSpPr>
          <a:spLocks noChangeArrowheads="1"/>
        </xdr:cNvSpPr>
      </xdr:nvSpPr>
      <xdr:spPr bwMode="auto">
        <a:xfrm>
          <a:off x="11232896634" y="36480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1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707391</xdr:colOff>
      <xdr:row>10</xdr:row>
      <xdr:rowOff>554365</xdr:rowOff>
    </xdr:to>
    <xdr:sp macro="" textlink="">
      <xdr:nvSpPr>
        <xdr:cNvPr id="75" name="AutoShape 1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11231467884" y="59340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فرم8 (درآمد)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707391</xdr:colOff>
      <xdr:row>11</xdr:row>
      <xdr:rowOff>554365</xdr:rowOff>
    </xdr:to>
    <xdr:sp macro="" textlink="">
      <xdr:nvSpPr>
        <xdr:cNvPr id="76" name="AutoShape 1">
          <a:hlinkClick xmlns:r="http://schemas.openxmlformats.org/officeDocument/2006/relationships" r:id="rId16"/>
        </xdr:cNvPr>
        <xdr:cNvSpPr>
          <a:spLocks noChangeArrowheads="1"/>
        </xdr:cNvSpPr>
      </xdr:nvSpPr>
      <xdr:spPr bwMode="auto">
        <a:xfrm>
          <a:off x="11142386002" y="64906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فرم9 (سنواتی)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707391</xdr:colOff>
      <xdr:row>12</xdr:row>
      <xdr:rowOff>554365</xdr:rowOff>
    </xdr:to>
    <xdr:sp macro="" textlink="">
      <xdr:nvSpPr>
        <xdr:cNvPr id="77" name="AutoShape 1">
          <a:hlinkClick xmlns:r="http://schemas.openxmlformats.org/officeDocument/2006/relationships" r:id="rId17"/>
        </xdr:cNvPr>
        <xdr:cNvSpPr>
          <a:spLocks noChangeArrowheads="1"/>
        </xdr:cNvSpPr>
      </xdr:nvSpPr>
      <xdr:spPr bwMode="auto">
        <a:xfrm>
          <a:off x="11231467884" y="7077075"/>
          <a:ext cx="1421766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</a:t>
          </a:r>
          <a:r>
            <a:rPr lang="fa-IR" sz="2000" b="0" cap="none" spc="0" baseline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10</a:t>
          </a:r>
          <a:endParaRPr lang="fa-IR" sz="2000" b="0" cap="none" spc="0">
            <a:ln w="1905"/>
            <a:solidFill>
              <a:schemeClr val="accent4">
                <a:lumMod val="50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ea typeface="+mn-ea"/>
            <a:cs typeface="IranNastaliq" pitchFamily="18" charset="0"/>
          </a:endParaRP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707391</xdr:colOff>
      <xdr:row>6</xdr:row>
      <xdr:rowOff>554365</xdr:rowOff>
    </xdr:to>
    <xdr:sp macro="" textlink="">
      <xdr:nvSpPr>
        <xdr:cNvPr id="90" name="AutoShape 1">
          <a:hlinkClick xmlns:r="http://schemas.openxmlformats.org/officeDocument/2006/relationships" r:id="rId18"/>
        </xdr:cNvPr>
        <xdr:cNvSpPr>
          <a:spLocks noChangeArrowheads="1"/>
        </xdr:cNvSpPr>
      </xdr:nvSpPr>
      <xdr:spPr bwMode="auto">
        <a:xfrm>
          <a:off x="11140943645" y="36331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11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707391</xdr:colOff>
      <xdr:row>7</xdr:row>
      <xdr:rowOff>554365</xdr:rowOff>
    </xdr:to>
    <xdr:sp macro="" textlink="">
      <xdr:nvSpPr>
        <xdr:cNvPr id="99" name="AutoShape 1">
          <a:hlinkClick xmlns:r="http://schemas.openxmlformats.org/officeDocument/2006/relationships" r:id="rId19"/>
        </xdr:cNvPr>
        <xdr:cNvSpPr>
          <a:spLocks noChangeArrowheads="1"/>
        </xdr:cNvSpPr>
      </xdr:nvSpPr>
      <xdr:spPr bwMode="auto">
        <a:xfrm>
          <a:off x="11140943645" y="42046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12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707391</xdr:colOff>
      <xdr:row>8</xdr:row>
      <xdr:rowOff>554365</xdr:rowOff>
    </xdr:to>
    <xdr:sp macro="" textlink="">
      <xdr:nvSpPr>
        <xdr:cNvPr id="100" name="AutoShape 1">
          <a:hlinkClick xmlns:r="http://schemas.openxmlformats.org/officeDocument/2006/relationships" r:id="rId20"/>
        </xdr:cNvPr>
        <xdr:cNvSpPr>
          <a:spLocks noChangeArrowheads="1"/>
        </xdr:cNvSpPr>
      </xdr:nvSpPr>
      <xdr:spPr bwMode="auto">
        <a:xfrm>
          <a:off x="11140943645" y="47761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فرم13 (استانی)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707391</xdr:colOff>
      <xdr:row>9</xdr:row>
      <xdr:rowOff>554365</xdr:rowOff>
    </xdr:to>
    <xdr:sp macro="" textlink="">
      <xdr:nvSpPr>
        <xdr:cNvPr id="101" name="AutoShape 1">
          <a:hlinkClick xmlns:r="http://schemas.openxmlformats.org/officeDocument/2006/relationships" r:id="rId21"/>
        </xdr:cNvPr>
        <xdr:cNvSpPr>
          <a:spLocks noChangeArrowheads="1"/>
        </xdr:cNvSpPr>
      </xdr:nvSpPr>
      <xdr:spPr bwMode="auto">
        <a:xfrm>
          <a:off x="11140943645" y="53476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فرم14 (استانی)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707390</xdr:colOff>
      <xdr:row>6</xdr:row>
      <xdr:rowOff>554365</xdr:rowOff>
    </xdr:to>
    <xdr:sp macro="" textlink="">
      <xdr:nvSpPr>
        <xdr:cNvPr id="104" name="AutoShape 1">
          <a:hlinkClick xmlns:r="http://schemas.openxmlformats.org/officeDocument/2006/relationships" r:id="rId22"/>
        </xdr:cNvPr>
        <xdr:cNvSpPr>
          <a:spLocks noChangeArrowheads="1"/>
        </xdr:cNvSpPr>
      </xdr:nvSpPr>
      <xdr:spPr bwMode="auto">
        <a:xfrm>
          <a:off x="11139501288" y="36331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فرم13 (ابلاغی)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707390</xdr:colOff>
      <xdr:row>7</xdr:row>
      <xdr:rowOff>554365</xdr:rowOff>
    </xdr:to>
    <xdr:sp macro="" textlink="">
      <xdr:nvSpPr>
        <xdr:cNvPr id="105" name="AutoShape 1">
          <a:hlinkClick xmlns:r="http://schemas.openxmlformats.org/officeDocument/2006/relationships" r:id="rId23"/>
        </xdr:cNvPr>
        <xdr:cNvSpPr>
          <a:spLocks noChangeArrowheads="1"/>
        </xdr:cNvSpPr>
      </xdr:nvSpPr>
      <xdr:spPr bwMode="auto">
        <a:xfrm>
          <a:off x="11139501288" y="42046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14 (ابلاغی)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707390</xdr:colOff>
      <xdr:row>8</xdr:row>
      <xdr:rowOff>554365</xdr:rowOff>
    </xdr:to>
    <xdr:sp macro="" textlink="">
      <xdr:nvSpPr>
        <xdr:cNvPr id="106" name="AutoShape 1">
          <a:hlinkClick xmlns:r="http://schemas.openxmlformats.org/officeDocument/2006/relationships" r:id="rId24"/>
        </xdr:cNvPr>
        <xdr:cNvSpPr>
          <a:spLocks noChangeArrowheads="1"/>
        </xdr:cNvSpPr>
      </xdr:nvSpPr>
      <xdr:spPr bwMode="auto">
        <a:xfrm>
          <a:off x="11139501288" y="47761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15(استانی)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707390</xdr:colOff>
      <xdr:row>9</xdr:row>
      <xdr:rowOff>554365</xdr:rowOff>
    </xdr:to>
    <xdr:sp macro="" textlink="">
      <xdr:nvSpPr>
        <xdr:cNvPr id="107" name="AutoShape 1">
          <a:hlinkClick xmlns:r="http://schemas.openxmlformats.org/officeDocument/2006/relationships" r:id="rId25"/>
        </xdr:cNvPr>
        <xdr:cNvSpPr>
          <a:spLocks noChangeArrowheads="1"/>
        </xdr:cNvSpPr>
      </xdr:nvSpPr>
      <xdr:spPr bwMode="auto">
        <a:xfrm>
          <a:off x="11139501288" y="53476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فرم 15 (ابلاغی)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705970</xdr:colOff>
      <xdr:row>11</xdr:row>
      <xdr:rowOff>549088</xdr:rowOff>
    </xdr:to>
    <xdr:sp macro="" textlink="">
      <xdr:nvSpPr>
        <xdr:cNvPr id="108" name="AutoShape 1">
          <a:hlinkClick xmlns:r="http://schemas.openxmlformats.org/officeDocument/2006/relationships" r:id="rId26"/>
        </xdr:cNvPr>
        <xdr:cNvSpPr>
          <a:spLocks noChangeArrowheads="1"/>
        </xdr:cNvSpPr>
      </xdr:nvSpPr>
      <xdr:spPr bwMode="auto">
        <a:xfrm>
          <a:off x="11191919824" y="5939118"/>
          <a:ext cx="2857500" cy="1120588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4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روکش تراز</a:t>
          </a:r>
          <a:endParaRPr lang="fa-IR" sz="2000" b="0" cap="none" spc="0">
            <a:ln w="1905"/>
            <a:solidFill>
              <a:schemeClr val="accent4">
                <a:lumMod val="50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ea typeface="+mn-ea"/>
            <a:cs typeface="IranNastaliq" pitchFamily="18" charset="0"/>
          </a:endParaRPr>
        </a:p>
      </xdr:txBody>
    </xdr:sp>
    <xdr:clientData/>
  </xdr:twoCellAnchor>
  <xdr:twoCellAnchor>
    <xdr:from>
      <xdr:col>6</xdr:col>
      <xdr:colOff>17009</xdr:colOff>
      <xdr:row>127</xdr:row>
      <xdr:rowOff>306163</xdr:rowOff>
    </xdr:from>
    <xdr:to>
      <xdr:col>7</xdr:col>
      <xdr:colOff>630918</xdr:colOff>
      <xdr:row>129</xdr:row>
      <xdr:rowOff>141176</xdr:rowOff>
    </xdr:to>
    <xdr:sp macro="" textlink="">
      <xdr:nvSpPr>
        <xdr:cNvPr id="43" name="AutoShape 1">
          <a:hlinkClick xmlns:r="http://schemas.openxmlformats.org/officeDocument/2006/relationships" r:id="rId27"/>
        </xdr:cNvPr>
        <xdr:cNvSpPr>
          <a:spLocks noChangeArrowheads="1"/>
        </xdr:cNvSpPr>
      </xdr:nvSpPr>
      <xdr:spPr bwMode="auto">
        <a:xfrm>
          <a:off x="11141741296" y="25438556"/>
          <a:ext cx="1335088" cy="760299"/>
        </a:xfrm>
        <a:prstGeom prst="roundRect">
          <a:avLst>
            <a:gd name="adj" fmla="val 19481"/>
          </a:avLst>
        </a:prstGeom>
        <a:solidFill>
          <a:srgbClr val="00B0F0"/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4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6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707391</xdr:colOff>
      <xdr:row>12</xdr:row>
      <xdr:rowOff>554365</xdr:rowOff>
    </xdr:to>
    <xdr:sp macro="" textlink="">
      <xdr:nvSpPr>
        <xdr:cNvPr id="46" name="AutoShape 1">
          <a:hlinkClick xmlns:r="http://schemas.openxmlformats.org/officeDocument/2006/relationships" r:id="rId28"/>
        </xdr:cNvPr>
        <xdr:cNvSpPr>
          <a:spLocks noChangeArrowheads="1"/>
        </xdr:cNvSpPr>
      </xdr:nvSpPr>
      <xdr:spPr bwMode="auto">
        <a:xfrm>
          <a:off x="11140943645" y="7062107"/>
          <a:ext cx="1428569" cy="554365"/>
        </a:xfrm>
        <a:prstGeom prst="roundRect">
          <a:avLst>
            <a:gd name="adj" fmla="val 12515"/>
          </a:avLst>
        </a:prstGeom>
        <a:solidFill>
          <a:schemeClr val="accent1">
            <a:lumMod val="60000"/>
            <a:lumOff val="40000"/>
          </a:schemeClr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تهیه</a:t>
          </a:r>
          <a:r>
            <a:rPr lang="fa-IR" sz="2000" b="0" cap="none" spc="0" baseline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 کننده</a:t>
          </a:r>
          <a:endParaRPr lang="fa-IR" sz="2000" b="0" cap="none" spc="0">
            <a:ln w="1905"/>
            <a:solidFill>
              <a:schemeClr val="accent4">
                <a:lumMod val="50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ea typeface="+mn-ea"/>
            <a:cs typeface="IranNastaliq" pitchFamily="18" charset="0"/>
          </a:endParaRP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707390</xdr:colOff>
      <xdr:row>12</xdr:row>
      <xdr:rowOff>554365</xdr:rowOff>
    </xdr:to>
    <xdr:sp macro="" textlink="">
      <xdr:nvSpPr>
        <xdr:cNvPr id="47" name="AutoShape 1">
          <a:hlinkClick xmlns:r="http://schemas.openxmlformats.org/officeDocument/2006/relationships" r:id="rId29"/>
        </xdr:cNvPr>
        <xdr:cNvSpPr>
          <a:spLocks noChangeArrowheads="1"/>
        </xdr:cNvSpPr>
      </xdr:nvSpPr>
      <xdr:spPr bwMode="auto">
        <a:xfrm>
          <a:off x="11139501288" y="7062107"/>
          <a:ext cx="1428569" cy="554365"/>
        </a:xfrm>
        <a:prstGeom prst="roundRect">
          <a:avLst>
            <a:gd name="adj" fmla="val 12515"/>
          </a:avLst>
        </a:prstGeom>
        <a:solidFill>
          <a:srgbClr val="5E8BC2"/>
        </a:solidFill>
        <a:ln>
          <a:headEnd/>
          <a:tailE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="horz" anchor="ctr" anchorCtr="0"/>
        <a:lstStyle/>
        <a:p>
          <a:pPr marL="0" indent="0" algn="ctr" rtl="1"/>
          <a:r>
            <a:rPr lang="fa-IR" sz="2000" b="0" cap="none" spc="0">
              <a:ln w="1905"/>
              <a:solidFill>
                <a:schemeClr val="accent4">
                  <a:lumMod val="50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ea typeface="+mn-ea"/>
              <a:cs typeface="IranNastaliq" pitchFamily="18" charset="0"/>
            </a:rPr>
            <a:t>راهنما</a:t>
          </a:r>
        </a:p>
      </xdr:txBody>
    </xdr:sp>
    <xdr:clientData/>
  </xdr:twoCellAnchor>
  <xdr:twoCellAnchor>
    <xdr:from>
      <xdr:col>1</xdr:col>
      <xdr:colOff>966107</xdr:colOff>
      <xdr:row>127</xdr:row>
      <xdr:rowOff>81643</xdr:rowOff>
    </xdr:from>
    <xdr:to>
      <xdr:col>3</xdr:col>
      <xdr:colOff>353785</xdr:colOff>
      <xdr:row>130</xdr:row>
      <xdr:rowOff>258537</xdr:rowOff>
    </xdr:to>
    <xdr:sp macro="" textlink="">
      <xdr:nvSpPr>
        <xdr:cNvPr id="52" name="AutoShape 1">
          <a:hlinkClick xmlns:r="http://schemas.openxmlformats.org/officeDocument/2006/relationships" r:id="rId27"/>
        </xdr:cNvPr>
        <xdr:cNvSpPr>
          <a:spLocks noChangeArrowheads="1"/>
        </xdr:cNvSpPr>
      </xdr:nvSpPr>
      <xdr:spPr bwMode="auto">
        <a:xfrm>
          <a:off x="11144903143" y="25214036"/>
          <a:ext cx="4109357" cy="1564822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8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حسین خسروی طناک علیا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3</xdr:row>
      <xdr:rowOff>0</xdr:rowOff>
    </xdr:from>
    <xdr:to>
      <xdr:col>14</xdr:col>
      <xdr:colOff>240445</xdr:colOff>
      <xdr:row>4</xdr:row>
      <xdr:rowOff>183724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67680" y="1071563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416718</xdr:colOff>
      <xdr:row>25</xdr:row>
      <xdr:rowOff>47625</xdr:rowOff>
    </xdr:from>
    <xdr:to>
      <xdr:col>14</xdr:col>
      <xdr:colOff>133288</xdr:colOff>
      <xdr:row>26</xdr:row>
      <xdr:rowOff>231349</xdr:rowOff>
    </xdr:to>
    <xdr:sp macro="" textlink="">
      <xdr:nvSpPr>
        <xdr:cNvPr id="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374837" y="7929563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500063</xdr:colOff>
      <xdr:row>47</xdr:row>
      <xdr:rowOff>11906</xdr:rowOff>
    </xdr:from>
    <xdr:to>
      <xdr:col>14</xdr:col>
      <xdr:colOff>216633</xdr:colOff>
      <xdr:row>48</xdr:row>
      <xdr:rowOff>148005</xdr:rowOff>
    </xdr:to>
    <xdr:sp macro="" textlink="">
      <xdr:nvSpPr>
        <xdr:cNvPr id="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91492" y="1489471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500063</xdr:colOff>
      <xdr:row>64</xdr:row>
      <xdr:rowOff>333375</xdr:rowOff>
    </xdr:from>
    <xdr:to>
      <xdr:col>14</xdr:col>
      <xdr:colOff>216633</xdr:colOff>
      <xdr:row>66</xdr:row>
      <xdr:rowOff>112286</xdr:rowOff>
    </xdr:to>
    <xdr:sp macro="" textlink="">
      <xdr:nvSpPr>
        <xdr:cNvPr id="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91492" y="21538406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511969</xdr:colOff>
      <xdr:row>83</xdr:row>
      <xdr:rowOff>35718</xdr:rowOff>
    </xdr:from>
    <xdr:to>
      <xdr:col>14</xdr:col>
      <xdr:colOff>228539</xdr:colOff>
      <xdr:row>84</xdr:row>
      <xdr:rowOff>171816</xdr:rowOff>
    </xdr:to>
    <xdr:sp macro="" textlink="">
      <xdr:nvSpPr>
        <xdr:cNvPr id="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79586" y="28277343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547688</xdr:colOff>
      <xdr:row>101</xdr:row>
      <xdr:rowOff>95250</xdr:rowOff>
    </xdr:from>
    <xdr:to>
      <xdr:col>14</xdr:col>
      <xdr:colOff>264258</xdr:colOff>
      <xdr:row>102</xdr:row>
      <xdr:rowOff>231348</xdr:rowOff>
    </xdr:to>
    <xdr:sp macro="" textlink="">
      <xdr:nvSpPr>
        <xdr:cNvPr id="8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43867" y="35016281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559593</xdr:colOff>
      <xdr:row>119</xdr:row>
      <xdr:rowOff>95250</xdr:rowOff>
    </xdr:from>
    <xdr:to>
      <xdr:col>14</xdr:col>
      <xdr:colOff>276163</xdr:colOff>
      <xdr:row>120</xdr:row>
      <xdr:rowOff>231349</xdr:rowOff>
    </xdr:to>
    <xdr:sp macro="" textlink="">
      <xdr:nvSpPr>
        <xdr:cNvPr id="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31962" y="41695688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523875</xdr:colOff>
      <xdr:row>137</xdr:row>
      <xdr:rowOff>59531</xdr:rowOff>
    </xdr:from>
    <xdr:to>
      <xdr:col>14</xdr:col>
      <xdr:colOff>240445</xdr:colOff>
      <xdr:row>138</xdr:row>
      <xdr:rowOff>195629</xdr:rowOff>
    </xdr:to>
    <xdr:sp macro="" textlink="">
      <xdr:nvSpPr>
        <xdr:cNvPr id="10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67680" y="48351281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523875</xdr:colOff>
      <xdr:row>155</xdr:row>
      <xdr:rowOff>59531</xdr:rowOff>
    </xdr:from>
    <xdr:to>
      <xdr:col>14</xdr:col>
      <xdr:colOff>240445</xdr:colOff>
      <xdr:row>156</xdr:row>
      <xdr:rowOff>195629</xdr:rowOff>
    </xdr:to>
    <xdr:sp macro="" textlink="">
      <xdr:nvSpPr>
        <xdr:cNvPr id="1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67680" y="55030687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12</xdr:col>
      <xdr:colOff>511968</xdr:colOff>
      <xdr:row>173</xdr:row>
      <xdr:rowOff>47624</xdr:rowOff>
    </xdr:from>
    <xdr:to>
      <xdr:col>14</xdr:col>
      <xdr:colOff>228538</xdr:colOff>
      <xdr:row>174</xdr:row>
      <xdr:rowOff>183723</xdr:rowOff>
    </xdr:to>
    <xdr:sp macro="" textlink="">
      <xdr:nvSpPr>
        <xdr:cNvPr id="1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279587" y="61698187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3</xdr:row>
      <xdr:rowOff>59531</xdr:rowOff>
    </xdr:from>
    <xdr:to>
      <xdr:col>14</xdr:col>
      <xdr:colOff>669070</xdr:colOff>
      <xdr:row>4</xdr:row>
      <xdr:rowOff>195630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39055" y="1333500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238125</xdr:colOff>
      <xdr:row>20</xdr:row>
      <xdr:rowOff>35719</xdr:rowOff>
    </xdr:from>
    <xdr:to>
      <xdr:col>14</xdr:col>
      <xdr:colOff>645258</xdr:colOff>
      <xdr:row>21</xdr:row>
      <xdr:rowOff>171818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62867" y="7881938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273844</xdr:colOff>
      <xdr:row>37</xdr:row>
      <xdr:rowOff>107156</xdr:rowOff>
    </xdr:from>
    <xdr:to>
      <xdr:col>14</xdr:col>
      <xdr:colOff>680977</xdr:colOff>
      <xdr:row>38</xdr:row>
      <xdr:rowOff>243255</xdr:rowOff>
    </xdr:to>
    <xdr:sp macro="" textlink="">
      <xdr:nvSpPr>
        <xdr:cNvPr id="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27148" y="14525625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321468</xdr:colOff>
      <xdr:row>54</xdr:row>
      <xdr:rowOff>0</xdr:rowOff>
    </xdr:from>
    <xdr:to>
      <xdr:col>15</xdr:col>
      <xdr:colOff>38038</xdr:colOff>
      <xdr:row>55</xdr:row>
      <xdr:rowOff>136099</xdr:rowOff>
    </xdr:to>
    <xdr:sp macro="" textlink="">
      <xdr:nvSpPr>
        <xdr:cNvPr id="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779524" y="2099071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309562</xdr:colOff>
      <xdr:row>71</xdr:row>
      <xdr:rowOff>35719</xdr:rowOff>
    </xdr:from>
    <xdr:to>
      <xdr:col>15</xdr:col>
      <xdr:colOff>26132</xdr:colOff>
      <xdr:row>72</xdr:row>
      <xdr:rowOff>171818</xdr:rowOff>
    </xdr:to>
    <xdr:sp macro="" textlink="">
      <xdr:nvSpPr>
        <xdr:cNvPr id="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791430" y="27598688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273843</xdr:colOff>
      <xdr:row>88</xdr:row>
      <xdr:rowOff>0</xdr:rowOff>
    </xdr:from>
    <xdr:to>
      <xdr:col>14</xdr:col>
      <xdr:colOff>680976</xdr:colOff>
      <xdr:row>89</xdr:row>
      <xdr:rowOff>136099</xdr:rowOff>
    </xdr:to>
    <xdr:sp macro="" textlink="">
      <xdr:nvSpPr>
        <xdr:cNvPr id="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27149" y="3413521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309562</xdr:colOff>
      <xdr:row>105</xdr:row>
      <xdr:rowOff>0</xdr:rowOff>
    </xdr:from>
    <xdr:to>
      <xdr:col>15</xdr:col>
      <xdr:colOff>26132</xdr:colOff>
      <xdr:row>106</xdr:row>
      <xdr:rowOff>136099</xdr:rowOff>
    </xdr:to>
    <xdr:sp macro="" textlink="">
      <xdr:nvSpPr>
        <xdr:cNvPr id="8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791430" y="4070746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309562</xdr:colOff>
      <xdr:row>122</xdr:row>
      <xdr:rowOff>35719</xdr:rowOff>
    </xdr:from>
    <xdr:to>
      <xdr:col>15</xdr:col>
      <xdr:colOff>26132</xdr:colOff>
      <xdr:row>123</xdr:row>
      <xdr:rowOff>171818</xdr:rowOff>
    </xdr:to>
    <xdr:sp macro="" textlink="">
      <xdr:nvSpPr>
        <xdr:cNvPr id="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791430" y="47315438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261937</xdr:colOff>
      <xdr:row>139</xdr:row>
      <xdr:rowOff>23813</xdr:rowOff>
    </xdr:from>
    <xdr:to>
      <xdr:col>14</xdr:col>
      <xdr:colOff>669070</xdr:colOff>
      <xdr:row>140</xdr:row>
      <xdr:rowOff>159912</xdr:rowOff>
    </xdr:to>
    <xdr:sp macro="" textlink="">
      <xdr:nvSpPr>
        <xdr:cNvPr id="10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39055" y="53875782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285750</xdr:colOff>
      <xdr:row>156</xdr:row>
      <xdr:rowOff>23813</xdr:rowOff>
    </xdr:from>
    <xdr:to>
      <xdr:col>15</xdr:col>
      <xdr:colOff>2320</xdr:colOff>
      <xdr:row>157</xdr:row>
      <xdr:rowOff>159912</xdr:rowOff>
    </xdr:to>
    <xdr:sp macro="" textlink="">
      <xdr:nvSpPr>
        <xdr:cNvPr id="1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15242" y="60448032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3</xdr:row>
      <xdr:rowOff>35719</xdr:rowOff>
    </xdr:from>
    <xdr:to>
      <xdr:col>14</xdr:col>
      <xdr:colOff>597633</xdr:colOff>
      <xdr:row>4</xdr:row>
      <xdr:rowOff>171818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910492" y="1202532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13</xdr:col>
      <xdr:colOff>238124</xdr:colOff>
      <xdr:row>21</xdr:row>
      <xdr:rowOff>11906</xdr:rowOff>
    </xdr:from>
    <xdr:to>
      <xdr:col>14</xdr:col>
      <xdr:colOff>645257</xdr:colOff>
      <xdr:row>22</xdr:row>
      <xdr:rowOff>148004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62868" y="7631906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452437</xdr:colOff>
      <xdr:row>3</xdr:row>
      <xdr:rowOff>23813</xdr:rowOff>
    </xdr:from>
    <xdr:to>
      <xdr:col>10</xdr:col>
      <xdr:colOff>609538</xdr:colOff>
      <xdr:row>4</xdr:row>
      <xdr:rowOff>159911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6660837" y="1131094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226218</xdr:colOff>
      <xdr:row>4</xdr:row>
      <xdr:rowOff>0</xdr:rowOff>
    </xdr:from>
    <xdr:to>
      <xdr:col>12</xdr:col>
      <xdr:colOff>633351</xdr:colOff>
      <xdr:row>4</xdr:row>
      <xdr:rowOff>445661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5255899" y="1524000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11</xdr:col>
      <xdr:colOff>202406</xdr:colOff>
      <xdr:row>21</xdr:row>
      <xdr:rowOff>0</xdr:rowOff>
    </xdr:from>
    <xdr:to>
      <xdr:col>12</xdr:col>
      <xdr:colOff>609539</xdr:colOff>
      <xdr:row>21</xdr:row>
      <xdr:rowOff>445661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5279711" y="813196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11</xdr:col>
      <xdr:colOff>190499</xdr:colOff>
      <xdr:row>38</xdr:row>
      <xdr:rowOff>0</xdr:rowOff>
    </xdr:from>
    <xdr:to>
      <xdr:col>12</xdr:col>
      <xdr:colOff>597632</xdr:colOff>
      <xdr:row>38</xdr:row>
      <xdr:rowOff>445661</xdr:rowOff>
    </xdr:to>
    <xdr:sp macro="" textlink="">
      <xdr:nvSpPr>
        <xdr:cNvPr id="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5291618" y="14739938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11</xdr:col>
      <xdr:colOff>166687</xdr:colOff>
      <xdr:row>55</xdr:row>
      <xdr:rowOff>11906</xdr:rowOff>
    </xdr:from>
    <xdr:to>
      <xdr:col>12</xdr:col>
      <xdr:colOff>573820</xdr:colOff>
      <xdr:row>55</xdr:row>
      <xdr:rowOff>457567</xdr:rowOff>
    </xdr:to>
    <xdr:sp macro="" textlink="">
      <xdr:nvSpPr>
        <xdr:cNvPr id="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5315430" y="21359812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11</xdr:col>
      <xdr:colOff>214312</xdr:colOff>
      <xdr:row>71</xdr:row>
      <xdr:rowOff>0</xdr:rowOff>
    </xdr:from>
    <xdr:to>
      <xdr:col>12</xdr:col>
      <xdr:colOff>621445</xdr:colOff>
      <xdr:row>71</xdr:row>
      <xdr:rowOff>445661</xdr:rowOff>
    </xdr:to>
    <xdr:sp macro="" textlink="">
      <xdr:nvSpPr>
        <xdr:cNvPr id="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5267805" y="27693938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202406</xdr:colOff>
      <xdr:row>4</xdr:row>
      <xdr:rowOff>0</xdr:rowOff>
    </xdr:from>
    <xdr:to>
      <xdr:col>11</xdr:col>
      <xdr:colOff>609538</xdr:colOff>
      <xdr:row>4</xdr:row>
      <xdr:rowOff>445661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5970274" y="1476375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309563</xdr:colOff>
      <xdr:row>2</xdr:row>
      <xdr:rowOff>452438</xdr:rowOff>
    </xdr:from>
    <xdr:to>
      <xdr:col>10</xdr:col>
      <xdr:colOff>466665</xdr:colOff>
      <xdr:row>3</xdr:row>
      <xdr:rowOff>433755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6803710" y="165496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214312</xdr:colOff>
      <xdr:row>3</xdr:row>
      <xdr:rowOff>357187</xdr:rowOff>
    </xdr:from>
    <xdr:to>
      <xdr:col>11</xdr:col>
      <xdr:colOff>621445</xdr:colOff>
      <xdr:row>4</xdr:row>
      <xdr:rowOff>421848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5958368" y="1762125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559593</xdr:colOff>
      <xdr:row>3</xdr:row>
      <xdr:rowOff>23812</xdr:rowOff>
    </xdr:from>
    <xdr:to>
      <xdr:col>10</xdr:col>
      <xdr:colOff>26132</xdr:colOff>
      <xdr:row>3</xdr:row>
      <xdr:rowOff>469473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7244243" y="1131093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462643</xdr:colOff>
      <xdr:row>3</xdr:row>
      <xdr:rowOff>27215</xdr:rowOff>
    </xdr:from>
    <xdr:to>
      <xdr:col>11</xdr:col>
      <xdr:colOff>199624</xdr:colOff>
      <xdr:row>4</xdr:row>
      <xdr:rowOff>159911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139287876" y="1115786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154780</xdr:colOff>
      <xdr:row>5</xdr:row>
      <xdr:rowOff>238124</xdr:rowOff>
    </xdr:from>
    <xdr:to>
      <xdr:col>20</xdr:col>
      <xdr:colOff>559593</xdr:colOff>
      <xdr:row>6</xdr:row>
      <xdr:rowOff>381000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805157" y="2143124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142875</xdr:colOff>
      <xdr:row>53</xdr:row>
      <xdr:rowOff>345281</xdr:rowOff>
    </xdr:from>
    <xdr:to>
      <xdr:col>20</xdr:col>
      <xdr:colOff>547688</xdr:colOff>
      <xdr:row>55</xdr:row>
      <xdr:rowOff>11908</xdr:rowOff>
    </xdr:to>
    <xdr:sp macro="" textlink="">
      <xdr:nvSpPr>
        <xdr:cNvPr id="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817062" y="21038344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250031</xdr:colOff>
      <xdr:row>89</xdr:row>
      <xdr:rowOff>333374</xdr:rowOff>
    </xdr:from>
    <xdr:to>
      <xdr:col>20</xdr:col>
      <xdr:colOff>654844</xdr:colOff>
      <xdr:row>91</xdr:row>
      <xdr:rowOff>47626</xdr:rowOff>
    </xdr:to>
    <xdr:sp macro="" textlink="">
      <xdr:nvSpPr>
        <xdr:cNvPr id="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709906" y="35171062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321468</xdr:colOff>
      <xdr:row>104</xdr:row>
      <xdr:rowOff>357189</xdr:rowOff>
    </xdr:from>
    <xdr:to>
      <xdr:col>21</xdr:col>
      <xdr:colOff>35719</xdr:colOff>
      <xdr:row>106</xdr:row>
      <xdr:rowOff>71440</xdr:rowOff>
    </xdr:to>
    <xdr:sp macro="" textlink="">
      <xdr:nvSpPr>
        <xdr:cNvPr id="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38469" y="41040845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345282</xdr:colOff>
      <xdr:row>117</xdr:row>
      <xdr:rowOff>309563</xdr:rowOff>
    </xdr:from>
    <xdr:to>
      <xdr:col>21</xdr:col>
      <xdr:colOff>59533</xdr:colOff>
      <xdr:row>119</xdr:row>
      <xdr:rowOff>23815</xdr:rowOff>
    </xdr:to>
    <xdr:sp macro="" textlink="">
      <xdr:nvSpPr>
        <xdr:cNvPr id="8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14655" y="46053376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130</xdr:row>
      <xdr:rowOff>0</xdr:rowOff>
    </xdr:from>
    <xdr:to>
      <xdr:col>21</xdr:col>
      <xdr:colOff>1</xdr:colOff>
      <xdr:row>131</xdr:row>
      <xdr:rowOff>107158</xdr:rowOff>
    </xdr:to>
    <xdr:sp macro="" textlink="">
      <xdr:nvSpPr>
        <xdr:cNvPr id="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50803969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309562</xdr:colOff>
      <xdr:row>159</xdr:row>
      <xdr:rowOff>11906</xdr:rowOff>
    </xdr:from>
    <xdr:to>
      <xdr:col>21</xdr:col>
      <xdr:colOff>23813</xdr:colOff>
      <xdr:row>160</xdr:row>
      <xdr:rowOff>107157</xdr:rowOff>
    </xdr:to>
    <xdr:sp macro="" textlink="">
      <xdr:nvSpPr>
        <xdr:cNvPr id="10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50375" y="62162531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297656</xdr:colOff>
      <xdr:row>179</xdr:row>
      <xdr:rowOff>0</xdr:rowOff>
    </xdr:from>
    <xdr:to>
      <xdr:col>21</xdr:col>
      <xdr:colOff>11907</xdr:colOff>
      <xdr:row>180</xdr:row>
      <xdr:rowOff>95251</xdr:rowOff>
    </xdr:to>
    <xdr:sp macro="" textlink="">
      <xdr:nvSpPr>
        <xdr:cNvPr id="1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62281" y="69973031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404812</xdr:colOff>
      <xdr:row>211</xdr:row>
      <xdr:rowOff>369094</xdr:rowOff>
    </xdr:from>
    <xdr:to>
      <xdr:col>21</xdr:col>
      <xdr:colOff>119063</xdr:colOff>
      <xdr:row>213</xdr:row>
      <xdr:rowOff>71440</xdr:rowOff>
    </xdr:to>
    <xdr:sp macro="" textlink="">
      <xdr:nvSpPr>
        <xdr:cNvPr id="1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555125" y="82879407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238</xdr:row>
      <xdr:rowOff>11907</xdr:rowOff>
    </xdr:from>
    <xdr:to>
      <xdr:col>21</xdr:col>
      <xdr:colOff>1</xdr:colOff>
      <xdr:row>239</xdr:row>
      <xdr:rowOff>107159</xdr:rowOff>
    </xdr:to>
    <xdr:sp macro="" textlink="">
      <xdr:nvSpPr>
        <xdr:cNvPr id="1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93094970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250</xdr:row>
      <xdr:rowOff>369094</xdr:rowOff>
    </xdr:from>
    <xdr:to>
      <xdr:col>21</xdr:col>
      <xdr:colOff>1</xdr:colOff>
      <xdr:row>252</xdr:row>
      <xdr:rowOff>71439</xdr:rowOff>
    </xdr:to>
    <xdr:sp macro="" textlink="">
      <xdr:nvSpPr>
        <xdr:cNvPr id="1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98131313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270</xdr:row>
      <xdr:rowOff>11906</xdr:rowOff>
    </xdr:from>
    <xdr:to>
      <xdr:col>21</xdr:col>
      <xdr:colOff>1</xdr:colOff>
      <xdr:row>271</xdr:row>
      <xdr:rowOff>107157</xdr:rowOff>
    </xdr:to>
    <xdr:sp macro="" textlink="">
      <xdr:nvSpPr>
        <xdr:cNvPr id="1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105596531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290</xdr:row>
      <xdr:rowOff>11906</xdr:rowOff>
    </xdr:from>
    <xdr:to>
      <xdr:col>21</xdr:col>
      <xdr:colOff>1</xdr:colOff>
      <xdr:row>291</xdr:row>
      <xdr:rowOff>107157</xdr:rowOff>
    </xdr:to>
    <xdr:sp macro="" textlink="">
      <xdr:nvSpPr>
        <xdr:cNvPr id="1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113418937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273844</xdr:colOff>
      <xdr:row>300</xdr:row>
      <xdr:rowOff>357187</xdr:rowOff>
    </xdr:from>
    <xdr:to>
      <xdr:col>20</xdr:col>
      <xdr:colOff>678657</xdr:colOff>
      <xdr:row>302</xdr:row>
      <xdr:rowOff>59532</xdr:rowOff>
    </xdr:to>
    <xdr:sp macro="" textlink="">
      <xdr:nvSpPr>
        <xdr:cNvPr id="1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86093" y="117657562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308</xdr:row>
      <xdr:rowOff>381001</xdr:rowOff>
    </xdr:from>
    <xdr:to>
      <xdr:col>21</xdr:col>
      <xdr:colOff>1</xdr:colOff>
      <xdr:row>310</xdr:row>
      <xdr:rowOff>83346</xdr:rowOff>
    </xdr:to>
    <xdr:sp macro="" textlink="">
      <xdr:nvSpPr>
        <xdr:cNvPr id="18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120788907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238125</xdr:colOff>
      <xdr:row>314</xdr:row>
      <xdr:rowOff>0</xdr:rowOff>
    </xdr:from>
    <xdr:to>
      <xdr:col>20</xdr:col>
      <xdr:colOff>642938</xdr:colOff>
      <xdr:row>315</xdr:row>
      <xdr:rowOff>95251</xdr:rowOff>
    </xdr:to>
    <xdr:sp macro="" textlink="">
      <xdr:nvSpPr>
        <xdr:cNvPr id="1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721812" y="122729625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325</xdr:row>
      <xdr:rowOff>11906</xdr:rowOff>
    </xdr:from>
    <xdr:to>
      <xdr:col>21</xdr:col>
      <xdr:colOff>1</xdr:colOff>
      <xdr:row>326</xdr:row>
      <xdr:rowOff>107157</xdr:rowOff>
    </xdr:to>
    <xdr:sp macro="" textlink="">
      <xdr:nvSpPr>
        <xdr:cNvPr id="20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127027781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297656</xdr:colOff>
      <xdr:row>333</xdr:row>
      <xdr:rowOff>369094</xdr:rowOff>
    </xdr:from>
    <xdr:to>
      <xdr:col>21</xdr:col>
      <xdr:colOff>11907</xdr:colOff>
      <xdr:row>335</xdr:row>
      <xdr:rowOff>71439</xdr:rowOff>
    </xdr:to>
    <xdr:sp macro="" textlink="">
      <xdr:nvSpPr>
        <xdr:cNvPr id="2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62281" y="130492500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261937</xdr:colOff>
      <xdr:row>342</xdr:row>
      <xdr:rowOff>23812</xdr:rowOff>
    </xdr:from>
    <xdr:to>
      <xdr:col>20</xdr:col>
      <xdr:colOff>666750</xdr:colOff>
      <xdr:row>343</xdr:row>
      <xdr:rowOff>119064</xdr:rowOff>
    </xdr:to>
    <xdr:sp macro="" textlink="">
      <xdr:nvSpPr>
        <xdr:cNvPr id="2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98000" y="133647656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352</xdr:row>
      <xdr:rowOff>23812</xdr:rowOff>
    </xdr:from>
    <xdr:to>
      <xdr:col>21</xdr:col>
      <xdr:colOff>1</xdr:colOff>
      <xdr:row>353</xdr:row>
      <xdr:rowOff>119064</xdr:rowOff>
    </xdr:to>
    <xdr:sp macro="" textlink="">
      <xdr:nvSpPr>
        <xdr:cNvPr id="2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137541000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273844</xdr:colOff>
      <xdr:row>359</xdr:row>
      <xdr:rowOff>0</xdr:rowOff>
    </xdr:from>
    <xdr:to>
      <xdr:col>20</xdr:col>
      <xdr:colOff>678657</xdr:colOff>
      <xdr:row>360</xdr:row>
      <xdr:rowOff>95252</xdr:rowOff>
    </xdr:to>
    <xdr:sp macro="" textlink="">
      <xdr:nvSpPr>
        <xdr:cNvPr id="2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86093" y="140231813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297657</xdr:colOff>
      <xdr:row>364</xdr:row>
      <xdr:rowOff>381000</xdr:rowOff>
    </xdr:from>
    <xdr:to>
      <xdr:col>21</xdr:col>
      <xdr:colOff>11908</xdr:colOff>
      <xdr:row>366</xdr:row>
      <xdr:rowOff>83345</xdr:rowOff>
    </xdr:to>
    <xdr:sp macro="" textlink="">
      <xdr:nvSpPr>
        <xdr:cNvPr id="2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62280" y="142541625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371</xdr:row>
      <xdr:rowOff>369094</xdr:rowOff>
    </xdr:from>
    <xdr:to>
      <xdr:col>21</xdr:col>
      <xdr:colOff>1</xdr:colOff>
      <xdr:row>373</xdr:row>
      <xdr:rowOff>71439</xdr:rowOff>
    </xdr:to>
    <xdr:sp macro="" textlink="">
      <xdr:nvSpPr>
        <xdr:cNvPr id="2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145244344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214312</xdr:colOff>
      <xdr:row>389</xdr:row>
      <xdr:rowOff>0</xdr:rowOff>
    </xdr:from>
    <xdr:to>
      <xdr:col>20</xdr:col>
      <xdr:colOff>619125</xdr:colOff>
      <xdr:row>390</xdr:row>
      <xdr:rowOff>95252</xdr:rowOff>
    </xdr:to>
    <xdr:sp macro="" textlink="">
      <xdr:nvSpPr>
        <xdr:cNvPr id="2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745625" y="151911844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261938</xdr:colOff>
      <xdr:row>397</xdr:row>
      <xdr:rowOff>11906</xdr:rowOff>
    </xdr:from>
    <xdr:to>
      <xdr:col>20</xdr:col>
      <xdr:colOff>666751</xdr:colOff>
      <xdr:row>398</xdr:row>
      <xdr:rowOff>107157</xdr:rowOff>
    </xdr:to>
    <xdr:sp macro="" textlink="">
      <xdr:nvSpPr>
        <xdr:cNvPr id="28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97999" y="155031281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19</xdr:col>
      <xdr:colOff>285750</xdr:colOff>
      <xdr:row>409</xdr:row>
      <xdr:rowOff>0</xdr:rowOff>
    </xdr:from>
    <xdr:to>
      <xdr:col>21</xdr:col>
      <xdr:colOff>1</xdr:colOff>
      <xdr:row>410</xdr:row>
      <xdr:rowOff>95251</xdr:rowOff>
    </xdr:to>
    <xdr:sp macro="" textlink="">
      <xdr:nvSpPr>
        <xdr:cNvPr id="2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99674187" y="159698531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35719</xdr:rowOff>
    </xdr:from>
    <xdr:to>
      <xdr:col>11</xdr:col>
      <xdr:colOff>502382</xdr:colOff>
      <xdr:row>4</xdr:row>
      <xdr:rowOff>171818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6077430" y="1262063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272143</xdr:colOff>
      <xdr:row>3</xdr:row>
      <xdr:rowOff>27215</xdr:rowOff>
    </xdr:from>
    <xdr:to>
      <xdr:col>11</xdr:col>
      <xdr:colOff>9124</xdr:colOff>
      <xdr:row>4</xdr:row>
      <xdr:rowOff>159911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139478376" y="1115786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23813</xdr:rowOff>
    </xdr:from>
    <xdr:to>
      <xdr:col>11</xdr:col>
      <xdr:colOff>407133</xdr:colOff>
      <xdr:row>4</xdr:row>
      <xdr:rowOff>159912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6172680" y="1250157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3</xdr:row>
      <xdr:rowOff>0</xdr:rowOff>
    </xdr:from>
    <xdr:to>
      <xdr:col>10</xdr:col>
      <xdr:colOff>7612</xdr:colOff>
      <xdr:row>3</xdr:row>
      <xdr:rowOff>445661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63939888" y="1354667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10</xdr:col>
      <xdr:colOff>409779</xdr:colOff>
      <xdr:row>3</xdr:row>
      <xdr:rowOff>445661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63537721" y="1354667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5</xdr:row>
      <xdr:rowOff>104776</xdr:rowOff>
    </xdr:from>
    <xdr:to>
      <xdr:col>12</xdr:col>
      <xdr:colOff>28575</xdr:colOff>
      <xdr:row>7</xdr:row>
      <xdr:rowOff>142876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27889025" y="962026"/>
          <a:ext cx="1009650" cy="381000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18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2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  <xdr:twoCellAnchor>
    <xdr:from>
      <xdr:col>1</xdr:col>
      <xdr:colOff>333375</xdr:colOff>
      <xdr:row>5</xdr:row>
      <xdr:rowOff>19050</xdr:rowOff>
    </xdr:from>
    <xdr:to>
      <xdr:col>9</xdr:col>
      <xdr:colOff>657225</xdr:colOff>
      <xdr:row>20</xdr:row>
      <xdr:rowOff>38100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1229317775" y="876300"/>
          <a:ext cx="5810250" cy="2590800"/>
        </a:xfrm>
        <a:prstGeom prst="roundRect">
          <a:avLst>
            <a:gd name="adj" fmla="val 7436"/>
          </a:avLst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="horz" anchor="t" anchorCtr="0"/>
        <a:lstStyle/>
        <a:p>
          <a:pPr algn="ctr" rtl="1"/>
          <a:endParaRPr lang="fa-IR" sz="1800" b="1" cap="none" spc="0">
            <a:ln w="1905"/>
            <a:solidFill>
              <a:srgbClr val="AD403D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cs typeface="B Titr" pitchFamily="2" charset="-78"/>
          </a:endParaRPr>
        </a:p>
        <a:p>
          <a:pPr algn="r" rtl="1"/>
          <a:r>
            <a:rPr lang="fa-IR" sz="1800" b="1" cap="none" spc="0">
              <a:ln w="1905"/>
              <a:solidFill>
                <a:srgbClr val="AD403D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cs typeface="B Titr" pitchFamily="2" charset="-78"/>
            </a:rPr>
            <a:t>    * جهت عملكرد بهينه</a:t>
          </a:r>
          <a:r>
            <a:rPr lang="fa-IR" sz="1800" b="1" cap="none" spc="0" baseline="0">
              <a:ln w="1905"/>
              <a:solidFill>
                <a:srgbClr val="AD403D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cs typeface="B Titr" pitchFamily="2" charset="-78"/>
            </a:rPr>
            <a:t> برنامه  به نكات زير توجه فرمائيد:</a:t>
          </a:r>
        </a:p>
        <a:p>
          <a:pPr algn="ctr" rtl="1"/>
          <a:endParaRPr lang="fa-IR" sz="900" b="1" cap="none" spc="0" baseline="0">
            <a:ln w="1905"/>
            <a:solidFill>
              <a:srgbClr val="AD403D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cs typeface="B Titr" pitchFamily="2" charset="-78"/>
          </a:endParaRPr>
        </a:p>
        <a:p>
          <a:pPr algn="r" rtl="1"/>
          <a:r>
            <a:rPr lang="fa-IR" sz="1800" b="1" cap="none" spc="0">
              <a:ln w="1905"/>
              <a:solidFill>
                <a:srgbClr val="AD403D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cs typeface="B Titr" pitchFamily="2" charset="-78"/>
            </a:rPr>
            <a:t>        1-تكميل</a:t>
          </a:r>
          <a:r>
            <a:rPr lang="fa-IR" sz="1800" b="1" cap="none" spc="0" baseline="0">
              <a:ln w="1905"/>
              <a:solidFill>
                <a:srgbClr val="AD403D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cs typeface="B Titr" pitchFamily="2" charset="-78"/>
            </a:rPr>
            <a:t> </a:t>
          </a:r>
          <a:r>
            <a:rPr lang="fa-IR" sz="1800" b="1" cap="none" spc="0">
              <a:ln w="1905"/>
              <a:solidFill>
                <a:srgbClr val="AD403D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cs typeface="B Titr" pitchFamily="2" charset="-78"/>
            </a:rPr>
            <a:t>روكش تراز و رفع مغايرات هاي نشان داده شده</a:t>
          </a:r>
        </a:p>
        <a:p>
          <a:pPr algn="r" rtl="1"/>
          <a:endParaRPr lang="fa-IR" sz="1100" b="1" cap="none" spc="0">
            <a:ln w="1905"/>
            <a:solidFill>
              <a:srgbClr val="AD403D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cs typeface="B Titr" pitchFamily="2" charset="-78"/>
          </a:endParaRPr>
        </a:p>
        <a:p>
          <a:pPr algn="r" rtl="1"/>
          <a:r>
            <a:rPr lang="fa-IR" sz="1800" b="1" cap="none" spc="0">
              <a:ln w="1905"/>
              <a:solidFill>
                <a:srgbClr val="AD403D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cs typeface="B Titr" pitchFamily="2" charset="-78"/>
            </a:rPr>
            <a:t>        2-تكميل فرمهاي عملكرد و رفع</a:t>
          </a:r>
          <a:r>
            <a:rPr lang="fa-IR" sz="1800" b="1" cap="none" spc="0" baseline="0">
              <a:ln w="1905"/>
              <a:solidFill>
                <a:srgbClr val="AD403D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IranNastaliq" pitchFamily="18" charset="0"/>
              <a:cs typeface="B Titr" pitchFamily="2" charset="-78"/>
            </a:rPr>
            <a:t> مغايرت فرمها با روكش تراز </a:t>
          </a:r>
          <a:endParaRPr lang="fa-IR" sz="1200" b="1" cap="none" spc="0">
            <a:ln w="1905"/>
            <a:solidFill>
              <a:srgbClr val="AD403D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3</xdr:row>
      <xdr:rowOff>95250</xdr:rowOff>
    </xdr:from>
    <xdr:to>
      <xdr:col>15</xdr:col>
      <xdr:colOff>460376</xdr:colOff>
      <xdr:row>4</xdr:row>
      <xdr:rowOff>198439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173428249" y="1174750"/>
          <a:ext cx="1095376" cy="452439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328083</xdr:colOff>
      <xdr:row>3</xdr:row>
      <xdr:rowOff>10583</xdr:rowOff>
    </xdr:from>
    <xdr:to>
      <xdr:col>15</xdr:col>
      <xdr:colOff>49945</xdr:colOff>
      <xdr:row>4</xdr:row>
      <xdr:rowOff>75244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260457972" y="1185333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14</xdr:col>
      <xdr:colOff>407133</xdr:colOff>
      <xdr:row>4</xdr:row>
      <xdr:rowOff>64661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100992" y="117871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14</xdr:col>
      <xdr:colOff>407133</xdr:colOff>
      <xdr:row>4</xdr:row>
      <xdr:rowOff>136099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100992" y="1166813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14</xdr:col>
      <xdr:colOff>407132</xdr:colOff>
      <xdr:row>4</xdr:row>
      <xdr:rowOff>136099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4100993" y="1273969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503465</xdr:colOff>
      <xdr:row>3</xdr:row>
      <xdr:rowOff>0</xdr:rowOff>
    </xdr:from>
    <xdr:to>
      <xdr:col>14</xdr:col>
      <xdr:colOff>240446</xdr:colOff>
      <xdr:row>4</xdr:row>
      <xdr:rowOff>51053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137205982" y="993321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250031</xdr:colOff>
      <xdr:row>3</xdr:row>
      <xdr:rowOff>23813</xdr:rowOff>
    </xdr:from>
    <xdr:to>
      <xdr:col>14</xdr:col>
      <xdr:colOff>657164</xdr:colOff>
      <xdr:row>4</xdr:row>
      <xdr:rowOff>5130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1303850961" y="1309688"/>
          <a:ext cx="1097695" cy="445661"/>
        </a:xfrm>
        <a:prstGeom prst="roundRect">
          <a:avLst>
            <a:gd name="adj" fmla="val 19481"/>
          </a:avLst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="horz" anchor="ctr" anchorCtr="0">
          <a:sp3d>
            <a:bevelT h="50800"/>
            <a:bevelB w="38100" h="38100"/>
          </a:sp3d>
        </a:bodyPr>
        <a:lstStyle/>
        <a:p>
          <a:pPr algn="ctr" rtl="1"/>
          <a:r>
            <a:rPr lang="fa-IR" sz="2000">
              <a:ln cmpd="dbl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lt1">
                      <a:shade val="30000"/>
                      <a:satMod val="115000"/>
                    </a:schemeClr>
                  </a:gs>
                  <a:gs pos="50000">
                    <a:schemeClr val="lt1">
                      <a:shade val="67500"/>
                      <a:satMod val="115000"/>
                    </a:schemeClr>
                  </a:gs>
                  <a:gs pos="100000">
                    <a:schemeClr val="lt1">
                      <a:shade val="100000"/>
                      <a:satMod val="115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effectLst>
                <a:outerShdw blurRad="50800" dist="50800" sx="1000" sy="1000" algn="ctr" rotWithShape="0">
                  <a:srgbClr val="000000"/>
                </a:outerShdw>
              </a:effectLst>
              <a:latin typeface="IranNastaliq" pitchFamily="18" charset="0"/>
              <a:cs typeface="B Titr" pitchFamily="2" charset="-78"/>
            </a:rPr>
            <a:t>بازگشت</a:t>
          </a:r>
          <a:endParaRPr lang="fa-IR" sz="1400">
            <a:ln cmpd="dbl">
              <a:solidFill>
                <a:schemeClr val="tx1"/>
              </a:solidFill>
            </a:ln>
            <a:gradFill flip="none" rotWithShape="1">
              <a:gsLst>
                <a:gs pos="0">
                  <a:schemeClr val="lt1">
                    <a:shade val="30000"/>
                    <a:satMod val="115000"/>
                  </a:schemeClr>
                </a:gs>
                <a:gs pos="50000">
                  <a:schemeClr val="lt1">
                    <a:shade val="67500"/>
                    <a:satMod val="115000"/>
                  </a:schemeClr>
                </a:gs>
                <a:gs pos="100000">
                  <a:schemeClr val="l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effectLst>
              <a:outerShdw blurRad="50800" dist="50800" sx="1000" sy="1000" algn="ctr" rotWithShape="0">
                <a:srgbClr val="000000"/>
              </a:outerShdw>
            </a:effectLst>
            <a:latin typeface="IranNastaliq" pitchFamily="18" charset="0"/>
            <a:cs typeface="B Titr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7030A0"/>
  </sheetPr>
  <dimension ref="A1:O138"/>
  <sheetViews>
    <sheetView showGridLines="0" rightToLeft="1" zoomScale="70" zoomScaleNormal="70" workbookViewId="0"/>
  </sheetViews>
  <sheetFormatPr defaultRowHeight="12.75"/>
  <cols>
    <col min="1" max="1" width="7.5" style="459" customWidth="1"/>
    <col min="2" max="2" width="34.25" style="459" customWidth="1"/>
    <col min="3" max="3" width="27.75" style="459" customWidth="1"/>
    <col min="4" max="11" width="9.375" style="459" customWidth="1"/>
    <col min="12" max="16384" width="9" style="459"/>
  </cols>
  <sheetData>
    <row r="1" spans="1:15" ht="34.5" customHeight="1"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1:15" ht="69" customHeight="1"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5" ht="30" customHeight="1"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5" ht="46.5" customHeight="1">
      <c r="A4" s="460"/>
      <c r="B4" s="458"/>
      <c r="C4" s="458"/>
      <c r="D4" s="460"/>
      <c r="E4" s="460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5" ht="45" customHeight="1">
      <c r="A5" s="460"/>
      <c r="B5" s="458"/>
      <c r="C5" s="458"/>
      <c r="D5" s="460"/>
      <c r="E5" s="460"/>
      <c r="F5" s="458"/>
      <c r="G5" s="458"/>
      <c r="H5" s="458"/>
      <c r="I5" s="458"/>
      <c r="J5" s="458"/>
      <c r="K5" s="458"/>
      <c r="L5" s="458"/>
      <c r="M5" s="458"/>
      <c r="N5" s="458"/>
      <c r="O5" s="458"/>
    </row>
    <row r="6" spans="1:15" ht="62.25" customHeight="1">
      <c r="A6" s="460"/>
      <c r="B6" s="473" t="s">
        <v>412</v>
      </c>
      <c r="C6" s="473"/>
      <c r="D6" s="474"/>
      <c r="E6" s="474"/>
      <c r="F6" s="474"/>
      <c r="G6" s="474"/>
      <c r="H6" s="474"/>
      <c r="I6" s="474"/>
      <c r="J6" s="463"/>
      <c r="K6" s="463"/>
      <c r="L6" s="463"/>
      <c r="M6" s="458"/>
      <c r="N6" s="458"/>
      <c r="O6" s="458"/>
    </row>
    <row r="7" spans="1:15" ht="45" customHeight="1">
      <c r="A7" s="460"/>
      <c r="B7" s="465" t="s">
        <v>405</v>
      </c>
      <c r="C7" s="466"/>
      <c r="D7" s="476" t="s">
        <v>560</v>
      </c>
      <c r="E7" s="477"/>
      <c r="F7" s="476" t="s">
        <v>567</v>
      </c>
      <c r="G7" s="477"/>
      <c r="H7" s="476" t="s">
        <v>574</v>
      </c>
      <c r="I7" s="477"/>
      <c r="J7" s="478" t="s">
        <v>578</v>
      </c>
      <c r="K7" s="479"/>
      <c r="L7" s="463"/>
      <c r="M7" s="458"/>
      <c r="N7" s="458"/>
      <c r="O7" s="458"/>
    </row>
    <row r="8" spans="1:15" ht="45" customHeight="1">
      <c r="A8" s="460"/>
      <c r="B8" s="465" t="s">
        <v>406</v>
      </c>
      <c r="C8" s="467"/>
      <c r="D8" s="476" t="s">
        <v>561</v>
      </c>
      <c r="E8" s="477"/>
      <c r="F8" s="476" t="s">
        <v>568</v>
      </c>
      <c r="G8" s="477"/>
      <c r="H8" s="476" t="s">
        <v>575</v>
      </c>
      <c r="I8" s="477"/>
      <c r="J8" s="478" t="s">
        <v>579</v>
      </c>
      <c r="K8" s="479"/>
      <c r="L8" s="463"/>
      <c r="M8" s="458"/>
      <c r="N8" s="458"/>
      <c r="O8" s="458"/>
    </row>
    <row r="9" spans="1:15" ht="45" customHeight="1">
      <c r="A9" s="460"/>
      <c r="B9" s="465" t="s">
        <v>407</v>
      </c>
      <c r="C9" s="467"/>
      <c r="D9" s="476" t="s">
        <v>562</v>
      </c>
      <c r="E9" s="477"/>
      <c r="F9" s="476" t="s">
        <v>569</v>
      </c>
      <c r="G9" s="477"/>
      <c r="H9" s="476" t="s">
        <v>576</v>
      </c>
      <c r="I9" s="477"/>
      <c r="J9" s="478" t="s">
        <v>581</v>
      </c>
      <c r="K9" s="479"/>
      <c r="L9" s="463"/>
      <c r="M9" s="458"/>
      <c r="N9" s="458"/>
      <c r="O9" s="458"/>
    </row>
    <row r="10" spans="1:15" ht="45" customHeight="1">
      <c r="B10" s="465" t="s">
        <v>52</v>
      </c>
      <c r="C10" s="466"/>
      <c r="D10" s="476" t="s">
        <v>563</v>
      </c>
      <c r="E10" s="477"/>
      <c r="F10" s="476" t="s">
        <v>570</v>
      </c>
      <c r="G10" s="477"/>
      <c r="H10" s="476" t="s">
        <v>577</v>
      </c>
      <c r="I10" s="480"/>
      <c r="J10" s="478" t="s">
        <v>580</v>
      </c>
      <c r="K10" s="478"/>
      <c r="L10" s="463"/>
      <c r="M10" s="458"/>
      <c r="N10" s="458"/>
      <c r="O10" s="458"/>
    </row>
    <row r="11" spans="1:15" ht="45" customHeight="1">
      <c r="B11" s="465" t="s">
        <v>408</v>
      </c>
      <c r="C11" s="466"/>
      <c r="D11" s="476" t="s">
        <v>564</v>
      </c>
      <c r="E11" s="477"/>
      <c r="F11" s="476" t="s">
        <v>571</v>
      </c>
      <c r="G11" s="477"/>
      <c r="H11" s="476" t="s">
        <v>582</v>
      </c>
      <c r="I11" s="476"/>
      <c r="J11" s="476"/>
      <c r="K11" s="476"/>
      <c r="L11" s="463"/>
      <c r="M11" s="458"/>
      <c r="N11" s="458"/>
      <c r="O11" s="458"/>
    </row>
    <row r="12" spans="1:15" ht="45" customHeight="1">
      <c r="B12" s="465" t="s">
        <v>410</v>
      </c>
      <c r="C12" s="466"/>
      <c r="D12" s="476" t="s">
        <v>565</v>
      </c>
      <c r="E12" s="477"/>
      <c r="F12" s="476" t="s">
        <v>572</v>
      </c>
      <c r="G12" s="477"/>
      <c r="H12" s="476"/>
      <c r="I12" s="476"/>
      <c r="J12" s="476"/>
      <c r="K12" s="476"/>
      <c r="L12" s="463"/>
      <c r="M12" s="458"/>
      <c r="N12" s="458"/>
      <c r="O12" s="458"/>
    </row>
    <row r="13" spans="1:15" ht="45" customHeight="1">
      <c r="B13" s="465" t="s">
        <v>409</v>
      </c>
      <c r="C13" s="466"/>
      <c r="D13" s="476" t="s">
        <v>566</v>
      </c>
      <c r="E13" s="477"/>
      <c r="F13" s="476" t="s">
        <v>573</v>
      </c>
      <c r="G13" s="477"/>
      <c r="H13" s="464" t="s">
        <v>584</v>
      </c>
      <c r="I13" s="464"/>
      <c r="J13" s="464"/>
      <c r="K13" s="464"/>
      <c r="L13" s="463"/>
      <c r="M13" s="458"/>
      <c r="N13" s="458"/>
      <c r="O13" s="458"/>
    </row>
    <row r="14" spans="1:15" ht="21" customHeight="1">
      <c r="A14" s="458"/>
      <c r="B14" s="475"/>
      <c r="C14" s="475"/>
      <c r="D14" s="475"/>
      <c r="E14" s="475"/>
      <c r="F14" s="475"/>
      <c r="G14" s="475"/>
      <c r="H14" s="461"/>
      <c r="I14" s="461"/>
      <c r="J14" s="461"/>
      <c r="K14" s="461"/>
      <c r="L14" s="461"/>
      <c r="M14" s="458"/>
      <c r="N14" s="458"/>
      <c r="O14" s="458"/>
    </row>
    <row r="15" spans="1:15"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58"/>
      <c r="N15" s="458"/>
      <c r="O15" s="458"/>
    </row>
    <row r="16" spans="1:15"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</row>
    <row r="17" spans="2:15"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</row>
    <row r="18" spans="2:15"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</row>
    <row r="19" spans="2:15"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</row>
    <row r="20" spans="2:15"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</row>
    <row r="21" spans="2: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</row>
    <row r="22" spans="2:15"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</row>
    <row r="127" spans="2:10" ht="36" customHeight="1">
      <c r="B127" s="458"/>
      <c r="C127" s="458"/>
      <c r="D127" s="458"/>
      <c r="E127" s="458"/>
      <c r="F127" s="458"/>
      <c r="G127" s="458"/>
      <c r="H127" s="458"/>
      <c r="I127" s="458"/>
      <c r="J127" s="458"/>
    </row>
    <row r="128" spans="2:10" ht="36" customHeight="1">
      <c r="B128" s="458"/>
      <c r="C128" s="458"/>
      <c r="D128" s="458"/>
      <c r="E128" s="458"/>
      <c r="F128" s="458"/>
      <c r="G128" s="458"/>
      <c r="H128" s="458"/>
      <c r="I128" s="458"/>
      <c r="J128" s="458"/>
    </row>
    <row r="129" spans="2:11" ht="36" customHeight="1">
      <c r="B129" s="458"/>
      <c r="C129" s="458"/>
      <c r="D129" s="458"/>
      <c r="E129" s="458"/>
      <c r="F129" s="458"/>
      <c r="G129" s="458"/>
      <c r="H129" s="458"/>
      <c r="I129" s="458"/>
      <c r="J129" s="458"/>
    </row>
    <row r="130" spans="2:11" ht="36" customHeight="1">
      <c r="B130" s="458"/>
      <c r="C130" s="458"/>
      <c r="D130" s="458"/>
      <c r="E130" s="458"/>
      <c r="F130" s="458"/>
      <c r="G130" s="458"/>
      <c r="H130" s="458"/>
      <c r="I130" s="458"/>
      <c r="J130" s="458"/>
      <c r="K130" s="462"/>
    </row>
    <row r="131" spans="2:11" ht="36" customHeight="1">
      <c r="B131" s="458"/>
      <c r="C131" s="458"/>
      <c r="D131" s="458"/>
      <c r="E131" s="458"/>
      <c r="F131" s="458"/>
      <c r="G131" s="458"/>
      <c r="H131" s="458"/>
      <c r="I131" s="458"/>
      <c r="J131" s="458"/>
    </row>
    <row r="132" spans="2:11" ht="36" customHeight="1">
      <c r="B132" s="458"/>
      <c r="C132" s="458"/>
      <c r="D132" s="458"/>
      <c r="E132" s="458"/>
      <c r="F132" s="458"/>
      <c r="G132" s="458"/>
      <c r="H132" s="458"/>
      <c r="I132" s="458"/>
      <c r="J132" s="458"/>
    </row>
    <row r="133" spans="2:11" ht="36" customHeight="1">
      <c r="B133" s="458"/>
      <c r="C133" s="458"/>
      <c r="D133" s="458"/>
      <c r="E133" s="458"/>
      <c r="F133" s="458"/>
      <c r="G133" s="458"/>
      <c r="H133" s="458"/>
      <c r="I133" s="458"/>
      <c r="J133" s="458"/>
    </row>
    <row r="134" spans="2:11" ht="36" customHeight="1">
      <c r="B134" s="458"/>
      <c r="C134" s="458"/>
      <c r="D134" s="458"/>
      <c r="E134" s="458"/>
      <c r="F134" s="458"/>
      <c r="G134" s="458"/>
      <c r="H134" s="458"/>
      <c r="I134" s="458"/>
      <c r="J134" s="458"/>
    </row>
    <row r="135" spans="2:11" ht="36" customHeight="1">
      <c r="B135" s="458"/>
      <c r="C135" s="458"/>
      <c r="D135" s="458"/>
      <c r="E135" s="458"/>
      <c r="F135" s="458"/>
      <c r="G135" s="458"/>
      <c r="H135" s="458"/>
      <c r="I135" s="458"/>
      <c r="J135" s="458"/>
    </row>
    <row r="136" spans="2:11" ht="36" customHeight="1">
      <c r="B136" s="458"/>
      <c r="C136" s="458"/>
      <c r="D136" s="458"/>
      <c r="E136" s="458"/>
      <c r="F136" s="458"/>
      <c r="G136" s="458"/>
      <c r="H136" s="458"/>
      <c r="I136" s="458"/>
      <c r="J136" s="458"/>
    </row>
    <row r="137" spans="2:11" ht="36" customHeight="1">
      <c r="B137" s="458"/>
      <c r="C137" s="458"/>
      <c r="D137" s="458"/>
      <c r="E137" s="458"/>
      <c r="F137" s="458"/>
      <c r="G137" s="458"/>
      <c r="H137" s="458"/>
      <c r="I137" s="458"/>
      <c r="J137" s="458"/>
    </row>
    <row r="138" spans="2:11" ht="36" customHeight="1">
      <c r="B138" s="458"/>
      <c r="C138" s="458"/>
      <c r="D138" s="458"/>
      <c r="E138" s="458"/>
      <c r="F138" s="458"/>
      <c r="G138" s="458"/>
      <c r="H138" s="458"/>
      <c r="I138" s="458"/>
      <c r="J138" s="458"/>
    </row>
  </sheetData>
  <sheetProtection password="B595" sheet="1" objects="1" scenarios="1"/>
  <dataConsolidate/>
  <mergeCells count="26">
    <mergeCell ref="F13:G13"/>
    <mergeCell ref="H7:I7"/>
    <mergeCell ref="H8:I8"/>
    <mergeCell ref="H9:I9"/>
    <mergeCell ref="H10:I10"/>
    <mergeCell ref="J7:K7"/>
    <mergeCell ref="J8:K8"/>
    <mergeCell ref="J9:K9"/>
    <mergeCell ref="J10:K10"/>
    <mergeCell ref="H11:K12"/>
    <mergeCell ref="B6:C6"/>
    <mergeCell ref="D6:I6"/>
    <mergeCell ref="B14:G14"/>
    <mergeCell ref="D7:E7"/>
    <mergeCell ref="D8:E8"/>
    <mergeCell ref="D9:E9"/>
    <mergeCell ref="D10:E10"/>
    <mergeCell ref="D11:E11"/>
    <mergeCell ref="D12:E12"/>
    <mergeCell ref="D13:E13"/>
    <mergeCell ref="F7:G7"/>
    <mergeCell ref="F8:G8"/>
    <mergeCell ref="F9:G9"/>
    <mergeCell ref="F10:G10"/>
    <mergeCell ref="F11:G11"/>
    <mergeCell ref="F12:G12"/>
  </mergeCells>
  <hyperlinks>
    <hyperlink ref="D7:E7" location="'1'!A1" display="'1'!A1"/>
    <hyperlink ref="D8:E8" location="'2'!A1" display="'2'!A1"/>
    <hyperlink ref="D9:E9" location="' 3'!A1" display="' 3'!A1"/>
    <hyperlink ref="D10:E10" location="'4استانی '!A1" display="'4استانی '!A1"/>
    <hyperlink ref="D11:E11" location="'  5 استانی'!A1" display="'  5 استانی'!A1"/>
    <hyperlink ref="D12:E12" location="'2ابلاغی'!A1" display="'2ابلاغی'!A1"/>
    <hyperlink ref="D13:E13" location="'3 ابلاغی'!A1" display="'3 ابلاغی'!A1"/>
    <hyperlink ref="F7:G7" location="'4ابلاغی'!A1" display="'4ابلاغی'!A1"/>
    <hyperlink ref="F8:G8" location="'5 ابلاغی'!A1" display="'5 ابلاغی'!A1"/>
    <hyperlink ref="F9:G9" location="'6'!A1" display="'6'!A1"/>
    <hyperlink ref="F10:G10" location="'7'!A1" display="'7'!A1"/>
    <hyperlink ref="F11:G11" location="' 8'!A1" display="' 8'!A1"/>
    <hyperlink ref="F12:G12" location="'9'!A1" display="'9'!A1"/>
    <hyperlink ref="F13:G13" location="'10'!A1" display="'10'!A1"/>
    <hyperlink ref="H7:I7" location="'11'!A1" display="'11'!A1"/>
    <hyperlink ref="H8:I8" location="'12'!A1" display="'12'!A1"/>
    <hyperlink ref="H9:I9" location="'13 استانی'!A1" display="'13 استانی'!A1"/>
    <hyperlink ref="J7:K7" location="'13 ابلاغی'!A1" display="'13 ابلاغی'!A1"/>
    <hyperlink ref="J8:K8" location="'14ابلاغی'!A1" display="'14ابلاغی'!A1"/>
    <hyperlink ref="J9:K9" location="'15استانی'!A1" display="'15استانی'!A1"/>
    <hyperlink ref="J10:K10" location="'15ابلاغی'!A1" display="'15ابلاغی'!A1"/>
    <hyperlink ref="H11:K12" location="'رو کش تراز '!A1" display="'رو کش تراز '!A1"/>
  </hyperlinks>
  <pageMargins left="0.7" right="1.05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M189"/>
  <sheetViews>
    <sheetView showGridLines="0" rightToLeft="1" view="pageBreakPreview" zoomScale="70" zoomScaleSheetLayoutView="70" workbookViewId="0">
      <selection sqref="A1:L1"/>
    </sheetView>
  </sheetViews>
  <sheetFormatPr defaultRowHeight="20.25"/>
  <cols>
    <col min="1" max="1" width="8.25" style="167" customWidth="1"/>
    <col min="2" max="4" width="14.75" style="167" customWidth="1"/>
    <col min="5" max="5" width="14.625" style="167" customWidth="1"/>
    <col min="6" max="6" width="11.625" style="167" customWidth="1"/>
    <col min="7" max="7" width="10.875" style="167" customWidth="1"/>
    <col min="8" max="8" width="11.25" style="167" customWidth="1"/>
    <col min="9" max="9" width="9.125" style="167" customWidth="1"/>
    <col min="10" max="10" width="8.625" style="167" customWidth="1"/>
    <col min="11" max="12" width="10.25" style="167" customWidth="1"/>
    <col min="13" max="16384" width="9" style="167"/>
  </cols>
  <sheetData>
    <row r="1" spans="1:13" s="4" customFormat="1" ht="31.5" customHeight="1">
      <c r="A1" s="646" t="s">
        <v>545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3" s="67" customFormat="1" ht="26.25" customHeight="1">
      <c r="A2" s="611" t="s">
        <v>0</v>
      </c>
      <c r="B2" s="611"/>
      <c r="C2" s="241">
        <f>'صفحه اصلی'!C7</f>
        <v>0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13" s="210" customFormat="1" ht="26.25" customHeight="1" thickBot="1">
      <c r="A3" s="612" t="s">
        <v>1</v>
      </c>
      <c r="B3" s="612"/>
      <c r="C3" s="359">
        <f>'صفحه اصلی'!C8</f>
        <v>0</v>
      </c>
      <c r="D3" s="356" t="s">
        <v>31</v>
      </c>
      <c r="E3" s="324"/>
      <c r="G3" s="356" t="s">
        <v>54</v>
      </c>
      <c r="H3" s="276">
        <f>'صفحه اصلی'!C9</f>
        <v>0</v>
      </c>
      <c r="I3" s="276"/>
      <c r="J3" s="276"/>
      <c r="K3" s="277"/>
      <c r="L3" s="277"/>
    </row>
    <row r="4" spans="1:13" ht="21" customHeight="1" thickTop="1">
      <c r="A4" s="674" t="s">
        <v>12</v>
      </c>
      <c r="B4" s="676" t="s">
        <v>16</v>
      </c>
      <c r="C4" s="676" t="s">
        <v>32</v>
      </c>
      <c r="D4" s="676" t="s">
        <v>33</v>
      </c>
      <c r="E4" s="676" t="s">
        <v>34</v>
      </c>
      <c r="F4" s="676" t="s">
        <v>35</v>
      </c>
      <c r="G4" s="676" t="s">
        <v>383</v>
      </c>
      <c r="H4" s="676" t="s">
        <v>2</v>
      </c>
      <c r="I4" s="676" t="s">
        <v>68</v>
      </c>
      <c r="J4" s="676" t="s">
        <v>69</v>
      </c>
      <c r="K4" s="676" t="s">
        <v>61</v>
      </c>
      <c r="L4" s="678" t="s">
        <v>3</v>
      </c>
    </row>
    <row r="5" spans="1:13" ht="21" customHeight="1" thickBot="1">
      <c r="A5" s="675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9"/>
      <c r="M5" s="168"/>
    </row>
    <row r="6" spans="1:13" ht="21.75" customHeight="1">
      <c r="A6" s="439">
        <f>'2ابلاغی'!A6</f>
        <v>0</v>
      </c>
      <c r="B6" s="337">
        <f>'2ابلاغی'!L6</f>
        <v>0</v>
      </c>
      <c r="C6" s="278">
        <f>B6</f>
        <v>0</v>
      </c>
      <c r="D6" s="278">
        <f t="shared" ref="D6:D14" si="0">SUM(E6:J6)</f>
        <v>0</v>
      </c>
      <c r="E6" s="118"/>
      <c r="F6" s="118"/>
      <c r="G6" s="118"/>
      <c r="H6" s="118"/>
      <c r="I6" s="118"/>
      <c r="J6" s="118"/>
      <c r="K6" s="118"/>
      <c r="L6" s="118"/>
      <c r="M6" s="168"/>
    </row>
    <row r="7" spans="1:13" ht="21.75" customHeight="1">
      <c r="A7" s="440">
        <f>'2ابلاغی'!A7</f>
        <v>0</v>
      </c>
      <c r="B7" s="337">
        <f>'2ابلاغی'!L7</f>
        <v>0</v>
      </c>
      <c r="C7" s="278">
        <f>B7</f>
        <v>0</v>
      </c>
      <c r="D7" s="278">
        <f t="shared" ref="D7" si="1">SUM(E7:J7)</f>
        <v>0</v>
      </c>
      <c r="E7" s="118"/>
      <c r="F7" s="118"/>
      <c r="G7" s="118"/>
      <c r="H7" s="118"/>
      <c r="I7" s="118"/>
      <c r="J7" s="118"/>
      <c r="K7" s="118"/>
      <c r="L7" s="118"/>
      <c r="M7" s="168"/>
    </row>
    <row r="8" spans="1:13" ht="21.75" customHeight="1">
      <c r="A8" s="441">
        <f>'2ابلاغی'!A8</f>
        <v>0</v>
      </c>
      <c r="B8" s="337">
        <f>'2ابلاغی'!L8</f>
        <v>0</v>
      </c>
      <c r="C8" s="278">
        <f t="shared" ref="C8:C14" si="2">B8</f>
        <v>0</v>
      </c>
      <c r="D8" s="278">
        <f t="shared" si="0"/>
        <v>0</v>
      </c>
      <c r="E8" s="118"/>
      <c r="F8" s="118"/>
      <c r="G8" s="118"/>
      <c r="H8" s="118"/>
      <c r="I8" s="118"/>
      <c r="J8" s="118"/>
      <c r="K8" s="118"/>
      <c r="L8" s="118"/>
      <c r="M8" s="168"/>
    </row>
    <row r="9" spans="1:13" ht="21.75" customHeight="1">
      <c r="A9" s="441">
        <f>'2ابلاغی'!A9</f>
        <v>0</v>
      </c>
      <c r="B9" s="337">
        <f>'2ابلاغی'!L9</f>
        <v>0</v>
      </c>
      <c r="C9" s="278">
        <f t="shared" si="2"/>
        <v>0</v>
      </c>
      <c r="D9" s="278">
        <f t="shared" si="0"/>
        <v>0</v>
      </c>
      <c r="E9" s="118"/>
      <c r="F9" s="118"/>
      <c r="G9" s="118"/>
      <c r="H9" s="118"/>
      <c r="I9" s="118"/>
      <c r="J9" s="118"/>
      <c r="K9" s="118"/>
      <c r="L9" s="118"/>
      <c r="M9" s="168"/>
    </row>
    <row r="10" spans="1:13" ht="21.75" customHeight="1">
      <c r="A10" s="441">
        <f>'2ابلاغی'!A10</f>
        <v>0</v>
      </c>
      <c r="B10" s="337">
        <f>'2ابلاغی'!L10</f>
        <v>0</v>
      </c>
      <c r="C10" s="278">
        <f t="shared" si="2"/>
        <v>0</v>
      </c>
      <c r="D10" s="278">
        <f t="shared" si="0"/>
        <v>0</v>
      </c>
      <c r="E10" s="118"/>
      <c r="F10" s="118"/>
      <c r="G10" s="118"/>
      <c r="H10" s="118"/>
      <c r="I10" s="118"/>
      <c r="J10" s="118"/>
      <c r="K10" s="118"/>
      <c r="L10" s="118"/>
      <c r="M10" s="168"/>
    </row>
    <row r="11" spans="1:13" ht="21.75" customHeight="1">
      <c r="A11" s="441">
        <f>'2ابلاغی'!A11</f>
        <v>0</v>
      </c>
      <c r="B11" s="337">
        <f>'2ابلاغی'!L11</f>
        <v>0</v>
      </c>
      <c r="C11" s="278">
        <f t="shared" si="2"/>
        <v>0</v>
      </c>
      <c r="D11" s="278">
        <f t="shared" si="0"/>
        <v>0</v>
      </c>
      <c r="E11" s="118"/>
      <c r="F11" s="118"/>
      <c r="G11" s="118"/>
      <c r="H11" s="118"/>
      <c r="I11" s="118"/>
      <c r="J11" s="118"/>
      <c r="K11" s="118"/>
      <c r="L11" s="118"/>
      <c r="M11" s="168"/>
    </row>
    <row r="12" spans="1:13" ht="21.75" customHeight="1">
      <c r="A12" s="439">
        <f>'2ابلاغی'!A12</f>
        <v>0</v>
      </c>
      <c r="B12" s="337">
        <f>'2ابلاغی'!L12</f>
        <v>0</v>
      </c>
      <c r="C12" s="278">
        <f t="shared" si="2"/>
        <v>0</v>
      </c>
      <c r="D12" s="278">
        <f t="shared" si="0"/>
        <v>0</v>
      </c>
      <c r="E12" s="118"/>
      <c r="F12" s="118"/>
      <c r="G12" s="118"/>
      <c r="H12" s="118"/>
      <c r="I12" s="118"/>
      <c r="J12" s="118"/>
      <c r="K12" s="118"/>
      <c r="L12" s="118"/>
      <c r="M12" s="168"/>
    </row>
    <row r="13" spans="1:13" ht="21.75" customHeight="1">
      <c r="A13" s="440">
        <f>'2ابلاغی'!A13</f>
        <v>0</v>
      </c>
      <c r="B13" s="337">
        <f>'2ابلاغی'!L13</f>
        <v>0</v>
      </c>
      <c r="C13" s="278">
        <f t="shared" si="2"/>
        <v>0</v>
      </c>
      <c r="D13" s="278">
        <f t="shared" si="0"/>
        <v>0</v>
      </c>
      <c r="E13" s="118"/>
      <c r="F13" s="118"/>
      <c r="G13" s="118"/>
      <c r="H13" s="118"/>
      <c r="I13" s="118"/>
      <c r="J13" s="118"/>
      <c r="K13" s="118"/>
      <c r="L13" s="118"/>
      <c r="M13" s="168"/>
    </row>
    <row r="14" spans="1:13" ht="21.75" customHeight="1">
      <c r="A14" s="440">
        <f>'2ابلاغی'!A14</f>
        <v>0</v>
      </c>
      <c r="B14" s="337">
        <f>'2ابلاغی'!L14</f>
        <v>0</v>
      </c>
      <c r="C14" s="244">
        <f t="shared" si="2"/>
        <v>0</v>
      </c>
      <c r="D14" s="405">
        <f t="shared" si="0"/>
        <v>0</v>
      </c>
      <c r="E14" s="118"/>
      <c r="F14" s="118"/>
      <c r="G14" s="118"/>
      <c r="H14" s="118"/>
      <c r="I14" s="118"/>
      <c r="J14" s="118"/>
      <c r="K14" s="118"/>
      <c r="L14" s="118"/>
      <c r="M14" s="168"/>
    </row>
    <row r="15" spans="1:13" ht="21.75" customHeight="1">
      <c r="A15" s="441">
        <f>'2ابلاغی'!A15</f>
        <v>0</v>
      </c>
      <c r="B15" s="337">
        <f>'2ابلاغی'!L15</f>
        <v>0</v>
      </c>
      <c r="C15" s="244">
        <f t="shared" ref="C15:C17" si="3">B15</f>
        <v>0</v>
      </c>
      <c r="D15" s="405">
        <f t="shared" ref="D15:D17" si="4">SUM(E15:J15)</f>
        <v>0</v>
      </c>
      <c r="E15" s="118"/>
      <c r="F15" s="118"/>
      <c r="G15" s="118"/>
      <c r="H15" s="118"/>
      <c r="I15" s="118"/>
      <c r="J15" s="118"/>
      <c r="K15" s="118"/>
      <c r="L15" s="118"/>
      <c r="M15" s="168"/>
    </row>
    <row r="16" spans="1:13" ht="21.75" customHeight="1">
      <c r="A16" s="439">
        <f>'2ابلاغی'!A16</f>
        <v>0</v>
      </c>
      <c r="B16" s="337">
        <f>'2ابلاغی'!L16</f>
        <v>0</v>
      </c>
      <c r="C16" s="244">
        <f t="shared" si="3"/>
        <v>0</v>
      </c>
      <c r="D16" s="405">
        <f t="shared" si="4"/>
        <v>0</v>
      </c>
      <c r="E16" s="118"/>
      <c r="F16" s="118"/>
      <c r="G16" s="118"/>
      <c r="H16" s="118"/>
      <c r="I16" s="118"/>
      <c r="J16" s="118"/>
      <c r="K16" s="118"/>
      <c r="L16" s="118"/>
      <c r="M16" s="168"/>
    </row>
    <row r="17" spans="1:13" ht="21.75" customHeight="1" thickBot="1">
      <c r="A17" s="442">
        <f>'2ابلاغی'!A17</f>
        <v>0</v>
      </c>
      <c r="B17" s="254">
        <f>'2ابلاغی'!L17</f>
        <v>0</v>
      </c>
      <c r="C17" s="245">
        <f t="shared" si="3"/>
        <v>0</v>
      </c>
      <c r="D17" s="279">
        <f t="shared" si="4"/>
        <v>0</v>
      </c>
      <c r="E17" s="435"/>
      <c r="F17" s="435"/>
      <c r="G17" s="435"/>
      <c r="H17" s="435"/>
      <c r="I17" s="435"/>
      <c r="J17" s="435"/>
      <c r="K17" s="435"/>
      <c r="L17" s="433"/>
      <c r="M17" s="168"/>
    </row>
    <row r="18" spans="1:13" ht="30" customHeight="1" thickBot="1">
      <c r="A18" s="280" t="s">
        <v>7</v>
      </c>
      <c r="B18" s="79">
        <f>SUM(B6:B17)</f>
        <v>0</v>
      </c>
      <c r="C18" s="79">
        <f t="shared" ref="C18:L18" si="5">SUM(C6:C17)</f>
        <v>0</v>
      </c>
      <c r="D18" s="79">
        <f t="shared" si="5"/>
        <v>0</v>
      </c>
      <c r="E18" s="79">
        <f t="shared" si="5"/>
        <v>0</v>
      </c>
      <c r="F18" s="79">
        <f t="shared" si="5"/>
        <v>0</v>
      </c>
      <c r="G18" s="79">
        <f t="shared" si="5"/>
        <v>0</v>
      </c>
      <c r="H18" s="79">
        <f t="shared" si="5"/>
        <v>0</v>
      </c>
      <c r="I18" s="79">
        <f t="shared" si="5"/>
        <v>0</v>
      </c>
      <c r="J18" s="79">
        <f t="shared" si="5"/>
        <v>0</v>
      </c>
      <c r="K18" s="79">
        <f t="shared" si="5"/>
        <v>0</v>
      </c>
      <c r="L18" s="79">
        <f t="shared" si="5"/>
        <v>0</v>
      </c>
      <c r="M18" s="168"/>
    </row>
    <row r="19" spans="1:13" s="200" customFormat="1" ht="38.25" customHeight="1" thickTop="1">
      <c r="A19" s="589" t="s">
        <v>21</v>
      </c>
      <c r="B19" s="589"/>
      <c r="C19" s="455">
        <f>'صفحه اصلی'!C10</f>
        <v>0</v>
      </c>
      <c r="D19" s="589" t="s">
        <v>8</v>
      </c>
      <c r="E19" s="589"/>
      <c r="F19" s="197">
        <f>'صفحه اصلی'!C11</f>
        <v>0</v>
      </c>
      <c r="G19" s="197"/>
      <c r="H19" s="348" t="s">
        <v>9</v>
      </c>
      <c r="I19" s="581">
        <f>'صفحه اصلی'!C12</f>
        <v>0</v>
      </c>
      <c r="J19" s="581"/>
      <c r="K19" s="360" t="s">
        <v>10</v>
      </c>
      <c r="L19" s="281">
        <f>'صفحه اصلی'!C13</f>
        <v>0</v>
      </c>
    </row>
    <row r="20" spans="1:13" ht="25.5" customHeight="1" thickBot="1">
      <c r="A20" s="587" t="s">
        <v>19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266" t="s">
        <v>37</v>
      </c>
    </row>
    <row r="21" spans="1:13" ht="30.75" customHeight="1" thickTop="1" thickBot="1">
      <c r="A21" s="582" t="s">
        <v>402</v>
      </c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4"/>
    </row>
    <row r="22" spans="1:13" ht="30.75" customHeight="1" thickBot="1">
      <c r="A22" s="203" t="s">
        <v>11</v>
      </c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3"/>
    </row>
    <row r="23" spans="1:13" s="4" customFormat="1" ht="30" customHeight="1" thickTop="1">
      <c r="A23" s="646" t="s">
        <v>30</v>
      </c>
      <c r="B23" s="646"/>
      <c r="C23" s="646"/>
      <c r="D23" s="646"/>
      <c r="E23" s="646"/>
      <c r="F23" s="646"/>
      <c r="G23" s="646"/>
      <c r="H23" s="646"/>
      <c r="I23" s="646"/>
      <c r="J23" s="646"/>
      <c r="K23" s="646"/>
      <c r="L23" s="646"/>
    </row>
    <row r="24" spans="1:13" s="67" customFormat="1" ht="25.5" customHeight="1">
      <c r="A24" s="611" t="s">
        <v>0</v>
      </c>
      <c r="B24" s="611"/>
      <c r="C24" s="241">
        <f>'صفحه اصلی'!C7</f>
        <v>0</v>
      </c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3" s="210" customFormat="1" ht="25.5" customHeight="1" thickBot="1">
      <c r="A25" s="612" t="s">
        <v>1</v>
      </c>
      <c r="B25" s="612"/>
      <c r="C25" s="359">
        <f>'صفحه اصلی'!C8</f>
        <v>0</v>
      </c>
      <c r="D25" s="356" t="s">
        <v>31</v>
      </c>
      <c r="E25" s="324"/>
      <c r="G25" s="356" t="s">
        <v>54</v>
      </c>
      <c r="H25" s="276">
        <f>'صفحه اصلی'!C9</f>
        <v>0</v>
      </c>
      <c r="I25" s="276"/>
      <c r="J25" s="276"/>
      <c r="K25" s="277"/>
      <c r="L25" s="277"/>
    </row>
    <row r="26" spans="1:13" ht="20.25" customHeight="1" thickTop="1">
      <c r="A26" s="674" t="s">
        <v>12</v>
      </c>
      <c r="B26" s="676" t="s">
        <v>16</v>
      </c>
      <c r="C26" s="676" t="s">
        <v>32</v>
      </c>
      <c r="D26" s="676" t="s">
        <v>33</v>
      </c>
      <c r="E26" s="676" t="s">
        <v>34</v>
      </c>
      <c r="F26" s="676" t="s">
        <v>35</v>
      </c>
      <c r="G26" s="676" t="s">
        <v>383</v>
      </c>
      <c r="H26" s="676" t="s">
        <v>2</v>
      </c>
      <c r="I26" s="676" t="s">
        <v>68</v>
      </c>
      <c r="J26" s="676" t="s">
        <v>69</v>
      </c>
      <c r="K26" s="676" t="s">
        <v>61</v>
      </c>
      <c r="L26" s="678" t="s">
        <v>3</v>
      </c>
    </row>
    <row r="27" spans="1:13" ht="20.25" customHeight="1" thickBot="1">
      <c r="A27" s="675"/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9"/>
    </row>
    <row r="28" spans="1:13" ht="23.25" customHeight="1">
      <c r="A28" s="271"/>
      <c r="B28" s="434"/>
      <c r="C28" s="278">
        <f>B28</f>
        <v>0</v>
      </c>
      <c r="D28" s="283">
        <f t="shared" ref="D28:D32" si="6">SUM(E28:J28)</f>
        <v>0</v>
      </c>
      <c r="E28" s="437"/>
      <c r="F28" s="112"/>
      <c r="G28" s="437"/>
      <c r="H28" s="112"/>
      <c r="I28" s="112"/>
      <c r="J28" s="112"/>
      <c r="K28" s="112"/>
      <c r="L28" s="434"/>
    </row>
    <row r="29" spans="1:13" ht="23.25" customHeight="1">
      <c r="A29" s="271"/>
      <c r="B29" s="434"/>
      <c r="C29" s="278">
        <f t="shared" ref="C29:C32" si="7">B29</f>
        <v>0</v>
      </c>
      <c r="D29" s="242">
        <f t="shared" si="6"/>
        <v>0</v>
      </c>
      <c r="E29" s="434"/>
      <c r="F29" s="223"/>
      <c r="G29" s="434"/>
      <c r="H29" s="223"/>
      <c r="I29" s="223"/>
      <c r="J29" s="223"/>
      <c r="K29" s="223"/>
      <c r="L29" s="434"/>
    </row>
    <row r="30" spans="1:13" ht="23.25" customHeight="1">
      <c r="A30" s="271"/>
      <c r="B30" s="434"/>
      <c r="C30" s="278">
        <f t="shared" si="7"/>
        <v>0</v>
      </c>
      <c r="D30" s="242">
        <f t="shared" si="6"/>
        <v>0</v>
      </c>
      <c r="E30" s="434"/>
      <c r="F30" s="223"/>
      <c r="G30" s="434"/>
      <c r="H30" s="223"/>
      <c r="I30" s="223"/>
      <c r="J30" s="223"/>
      <c r="K30" s="223"/>
      <c r="L30" s="434"/>
    </row>
    <row r="31" spans="1:13" ht="23.25" customHeight="1">
      <c r="A31" s="271"/>
      <c r="B31" s="434"/>
      <c r="C31" s="278">
        <f t="shared" si="7"/>
        <v>0</v>
      </c>
      <c r="D31" s="242">
        <f t="shared" si="6"/>
        <v>0</v>
      </c>
      <c r="E31" s="434"/>
      <c r="F31" s="223"/>
      <c r="G31" s="434"/>
      <c r="H31" s="223"/>
      <c r="I31" s="223"/>
      <c r="J31" s="223"/>
      <c r="K31" s="223"/>
      <c r="L31" s="434"/>
    </row>
    <row r="32" spans="1:13" ht="23.25" customHeight="1">
      <c r="A32" s="271"/>
      <c r="B32" s="434"/>
      <c r="C32" s="278">
        <f t="shared" si="7"/>
        <v>0</v>
      </c>
      <c r="D32" s="242">
        <f t="shared" si="6"/>
        <v>0</v>
      </c>
      <c r="E32" s="434"/>
      <c r="F32" s="223"/>
      <c r="G32" s="434"/>
      <c r="H32" s="223"/>
      <c r="I32" s="223"/>
      <c r="J32" s="223"/>
      <c r="K32" s="223"/>
      <c r="L32" s="434"/>
    </row>
    <row r="33" spans="1:13" ht="23.25" customHeight="1">
      <c r="A33" s="271"/>
      <c r="B33" s="434"/>
      <c r="C33" s="278">
        <f t="shared" ref="C33:C39" si="8">B33</f>
        <v>0</v>
      </c>
      <c r="D33" s="242">
        <f t="shared" ref="D33:D39" si="9">SUM(E33:J33)</f>
        <v>0</v>
      </c>
      <c r="E33" s="434"/>
      <c r="F33" s="223"/>
      <c r="G33" s="434"/>
      <c r="H33" s="223"/>
      <c r="I33" s="223"/>
      <c r="J33" s="223"/>
      <c r="K33" s="223"/>
      <c r="L33" s="434"/>
    </row>
    <row r="34" spans="1:13" ht="23.25" customHeight="1">
      <c r="A34" s="271"/>
      <c r="B34" s="434"/>
      <c r="C34" s="278">
        <f t="shared" si="8"/>
        <v>0</v>
      </c>
      <c r="D34" s="242">
        <f t="shared" si="9"/>
        <v>0</v>
      </c>
      <c r="E34" s="434"/>
      <c r="F34" s="223"/>
      <c r="G34" s="434"/>
      <c r="H34" s="223"/>
      <c r="I34" s="223"/>
      <c r="J34" s="223"/>
      <c r="K34" s="223"/>
      <c r="L34" s="434"/>
    </row>
    <row r="35" spans="1:13" ht="23.25" customHeight="1">
      <c r="A35" s="271"/>
      <c r="B35" s="434"/>
      <c r="C35" s="278">
        <f t="shared" si="8"/>
        <v>0</v>
      </c>
      <c r="D35" s="242">
        <f t="shared" si="9"/>
        <v>0</v>
      </c>
      <c r="E35" s="434"/>
      <c r="F35" s="223"/>
      <c r="G35" s="434"/>
      <c r="H35" s="223"/>
      <c r="I35" s="223"/>
      <c r="J35" s="223"/>
      <c r="K35" s="223"/>
      <c r="L35" s="434"/>
    </row>
    <row r="36" spans="1:13" ht="23.25" customHeight="1">
      <c r="A36" s="271"/>
      <c r="B36" s="434"/>
      <c r="C36" s="278">
        <f t="shared" si="8"/>
        <v>0</v>
      </c>
      <c r="D36" s="242">
        <f t="shared" si="9"/>
        <v>0</v>
      </c>
      <c r="E36" s="434"/>
      <c r="F36" s="223"/>
      <c r="G36" s="434"/>
      <c r="H36" s="223"/>
      <c r="I36" s="223"/>
      <c r="J36" s="223"/>
      <c r="K36" s="223"/>
      <c r="L36" s="434"/>
    </row>
    <row r="37" spans="1:13" ht="23.25" customHeight="1">
      <c r="A37" s="271"/>
      <c r="B37" s="434"/>
      <c r="C37" s="278">
        <f t="shared" si="8"/>
        <v>0</v>
      </c>
      <c r="D37" s="242">
        <f t="shared" si="9"/>
        <v>0</v>
      </c>
      <c r="E37" s="434"/>
      <c r="F37" s="223"/>
      <c r="G37" s="434"/>
      <c r="H37" s="223"/>
      <c r="I37" s="223"/>
      <c r="J37" s="223"/>
      <c r="K37" s="223"/>
      <c r="L37" s="434"/>
    </row>
    <row r="38" spans="1:13" ht="23.25" customHeight="1">
      <c r="A38" s="271"/>
      <c r="B38" s="434"/>
      <c r="C38" s="278">
        <f t="shared" si="8"/>
        <v>0</v>
      </c>
      <c r="D38" s="242">
        <f t="shared" si="9"/>
        <v>0</v>
      </c>
      <c r="E38" s="434"/>
      <c r="F38" s="223"/>
      <c r="G38" s="434"/>
      <c r="H38" s="223"/>
      <c r="I38" s="223"/>
      <c r="J38" s="223"/>
      <c r="K38" s="223"/>
      <c r="L38" s="434"/>
    </row>
    <row r="39" spans="1:13" ht="23.25" customHeight="1" thickBot="1">
      <c r="A39" s="272"/>
      <c r="B39" s="435"/>
      <c r="C39" s="279">
        <f t="shared" si="8"/>
        <v>0</v>
      </c>
      <c r="D39" s="245">
        <f t="shared" si="9"/>
        <v>0</v>
      </c>
      <c r="E39" s="435"/>
      <c r="F39" s="114"/>
      <c r="G39" s="435"/>
      <c r="H39" s="114"/>
      <c r="I39" s="114"/>
      <c r="J39" s="114"/>
      <c r="K39" s="114"/>
      <c r="L39" s="435"/>
    </row>
    <row r="40" spans="1:13" ht="26.25" customHeight="1" thickBot="1">
      <c r="A40" s="406" t="s">
        <v>7</v>
      </c>
      <c r="B40" s="79">
        <f>SUM(B28:B39)</f>
        <v>0</v>
      </c>
      <c r="C40" s="73">
        <f>SUM(C28:C39)</f>
        <v>0</v>
      </c>
      <c r="D40" s="79">
        <f t="shared" ref="D40" si="10">SUM(D28:D39)</f>
        <v>0</v>
      </c>
      <c r="E40" s="79">
        <f t="shared" ref="E40" si="11">SUM(E28:E39)</f>
        <v>0</v>
      </c>
      <c r="F40" s="79">
        <f t="shared" ref="F40" si="12">SUM(F28:F39)</f>
        <v>0</v>
      </c>
      <c r="G40" s="79">
        <f t="shared" ref="G40" si="13">SUM(G28:G39)</f>
        <v>0</v>
      </c>
      <c r="H40" s="79">
        <f t="shared" ref="H40" si="14">SUM(H28:H39)</f>
        <v>0</v>
      </c>
      <c r="I40" s="79">
        <f t="shared" ref="I40" si="15">SUM(I28:I39)</f>
        <v>0</v>
      </c>
      <c r="J40" s="79">
        <f t="shared" ref="J40" si="16">SUM(J28:J39)</f>
        <v>0</v>
      </c>
      <c r="K40" s="79">
        <f t="shared" ref="K40" si="17">SUM(K28:K39)</f>
        <v>0</v>
      </c>
      <c r="L40" s="238">
        <f t="shared" ref="L40" si="18">SUM(L28:L39)</f>
        <v>0</v>
      </c>
      <c r="M40" s="168"/>
    </row>
    <row r="41" spans="1:13" s="200" customFormat="1" ht="32.25" customHeight="1" thickTop="1">
      <c r="A41" s="589" t="s">
        <v>21</v>
      </c>
      <c r="B41" s="589"/>
      <c r="C41" s="240">
        <f>'صفحه اصلی'!C10</f>
        <v>0</v>
      </c>
      <c r="D41" s="589" t="s">
        <v>8</v>
      </c>
      <c r="E41" s="589"/>
      <c r="F41" s="240">
        <f>'صفحه اصلی'!C11</f>
        <v>0</v>
      </c>
      <c r="G41" s="197"/>
      <c r="H41" s="348" t="s">
        <v>9</v>
      </c>
      <c r="I41" s="673">
        <f>'صفحه اصلی'!C12</f>
        <v>0</v>
      </c>
      <c r="J41" s="673"/>
      <c r="K41" s="360" t="s">
        <v>10</v>
      </c>
      <c r="L41" s="352">
        <f>'صفحه اصلی'!C13</f>
        <v>0</v>
      </c>
    </row>
    <row r="42" spans="1:13" ht="26.25" customHeight="1" thickBot="1">
      <c r="A42" s="587" t="s">
        <v>19</v>
      </c>
      <c r="B42" s="587"/>
      <c r="C42" s="587"/>
      <c r="D42" s="587"/>
      <c r="E42" s="587"/>
      <c r="F42" s="587"/>
      <c r="G42" s="587"/>
      <c r="H42" s="587"/>
      <c r="I42" s="587"/>
      <c r="J42" s="587"/>
      <c r="K42" s="587"/>
      <c r="L42" s="266" t="s">
        <v>37</v>
      </c>
    </row>
    <row r="43" spans="1:13" ht="26.25" customHeight="1" thickTop="1" thickBot="1">
      <c r="A43" s="582" t="s">
        <v>402</v>
      </c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4"/>
    </row>
    <row r="44" spans="1:13" ht="26.25" customHeight="1" thickBot="1">
      <c r="A44" s="203" t="s">
        <v>11</v>
      </c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1"/>
    </row>
    <row r="45" spans="1:13" s="4" customFormat="1" ht="36" customHeight="1" thickTop="1">
      <c r="A45" s="646" t="s">
        <v>30</v>
      </c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</row>
    <row r="46" spans="1:13" s="67" customFormat="1" ht="28.5" customHeight="1">
      <c r="A46" s="611" t="s">
        <v>0</v>
      </c>
      <c r="B46" s="611"/>
      <c r="C46" s="241">
        <f>'صفحه اصلی'!C7</f>
        <v>0</v>
      </c>
      <c r="D46" s="241"/>
      <c r="E46" s="241"/>
      <c r="F46" s="241"/>
      <c r="G46" s="241"/>
      <c r="H46" s="241"/>
      <c r="I46" s="241"/>
      <c r="J46" s="241"/>
      <c r="K46" s="241"/>
      <c r="L46" s="241"/>
    </row>
    <row r="47" spans="1:13" s="210" customFormat="1" ht="28.5" customHeight="1" thickBot="1">
      <c r="A47" s="612" t="s">
        <v>1</v>
      </c>
      <c r="B47" s="612"/>
      <c r="C47" s="359">
        <f>'صفحه اصلی'!C8</f>
        <v>0</v>
      </c>
      <c r="D47" s="356" t="s">
        <v>31</v>
      </c>
      <c r="E47" s="324"/>
      <c r="G47" s="356" t="s">
        <v>54</v>
      </c>
      <c r="H47" s="276">
        <f>'صفحه اصلی'!C9</f>
        <v>0</v>
      </c>
      <c r="I47" s="276"/>
      <c r="J47" s="276"/>
      <c r="K47" s="277"/>
      <c r="L47" s="277"/>
    </row>
    <row r="48" spans="1:13" ht="24" customHeight="1" thickTop="1">
      <c r="A48" s="674" t="s">
        <v>12</v>
      </c>
      <c r="B48" s="676" t="s">
        <v>16</v>
      </c>
      <c r="C48" s="676" t="s">
        <v>32</v>
      </c>
      <c r="D48" s="676" t="s">
        <v>33</v>
      </c>
      <c r="E48" s="676" t="s">
        <v>34</v>
      </c>
      <c r="F48" s="676" t="s">
        <v>35</v>
      </c>
      <c r="G48" s="676" t="s">
        <v>383</v>
      </c>
      <c r="H48" s="676" t="s">
        <v>2</v>
      </c>
      <c r="I48" s="676" t="s">
        <v>68</v>
      </c>
      <c r="J48" s="676" t="s">
        <v>69</v>
      </c>
      <c r="K48" s="676" t="s">
        <v>61</v>
      </c>
      <c r="L48" s="678" t="s">
        <v>3</v>
      </c>
    </row>
    <row r="49" spans="1:13" ht="24" customHeight="1" thickBot="1">
      <c r="A49" s="675"/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9"/>
      <c r="M49" s="168"/>
    </row>
    <row r="50" spans="1:13" ht="27.75" customHeight="1">
      <c r="A50" s="271"/>
      <c r="B50" s="434"/>
      <c r="C50" s="278">
        <f>B50</f>
        <v>0</v>
      </c>
      <c r="D50" s="283">
        <f t="shared" ref="D50:D57" si="19">SUM(E50:J50)</f>
        <v>0</v>
      </c>
      <c r="E50" s="437"/>
      <c r="F50" s="437"/>
      <c r="G50" s="437"/>
      <c r="H50" s="437"/>
      <c r="I50" s="437"/>
      <c r="J50" s="437"/>
      <c r="K50" s="437"/>
      <c r="L50" s="434"/>
      <c r="M50" s="168"/>
    </row>
    <row r="51" spans="1:13" ht="27" customHeight="1">
      <c r="A51" s="271"/>
      <c r="B51" s="434"/>
      <c r="C51" s="278">
        <f t="shared" ref="C51:C57" si="20">B51</f>
        <v>0</v>
      </c>
      <c r="D51" s="242">
        <f t="shared" si="19"/>
        <v>0</v>
      </c>
      <c r="E51" s="434"/>
      <c r="F51" s="434"/>
      <c r="G51" s="434"/>
      <c r="H51" s="434"/>
      <c r="I51" s="434"/>
      <c r="J51" s="434"/>
      <c r="K51" s="434"/>
      <c r="L51" s="434"/>
      <c r="M51" s="168"/>
    </row>
    <row r="52" spans="1:13" ht="27" customHeight="1">
      <c r="A52" s="271"/>
      <c r="B52" s="434"/>
      <c r="C52" s="278">
        <f t="shared" si="20"/>
        <v>0</v>
      </c>
      <c r="D52" s="242">
        <f t="shared" si="19"/>
        <v>0</v>
      </c>
      <c r="E52" s="434"/>
      <c r="F52" s="434"/>
      <c r="G52" s="434"/>
      <c r="H52" s="434"/>
      <c r="I52" s="434"/>
      <c r="J52" s="434"/>
      <c r="K52" s="434"/>
      <c r="L52" s="434"/>
      <c r="M52" s="168"/>
    </row>
    <row r="53" spans="1:13" ht="27" customHeight="1">
      <c r="A53" s="271"/>
      <c r="B53" s="434"/>
      <c r="C53" s="278">
        <f t="shared" si="20"/>
        <v>0</v>
      </c>
      <c r="D53" s="242">
        <f t="shared" si="19"/>
        <v>0</v>
      </c>
      <c r="E53" s="434"/>
      <c r="F53" s="434"/>
      <c r="G53" s="434"/>
      <c r="H53" s="434"/>
      <c r="I53" s="434"/>
      <c r="J53" s="434"/>
      <c r="K53" s="434"/>
      <c r="L53" s="434"/>
      <c r="M53" s="168"/>
    </row>
    <row r="54" spans="1:13" ht="27" customHeight="1">
      <c r="A54" s="271"/>
      <c r="B54" s="434"/>
      <c r="C54" s="278">
        <f t="shared" si="20"/>
        <v>0</v>
      </c>
      <c r="D54" s="242">
        <f t="shared" si="19"/>
        <v>0</v>
      </c>
      <c r="E54" s="434"/>
      <c r="F54" s="434"/>
      <c r="G54" s="434"/>
      <c r="H54" s="434"/>
      <c r="I54" s="434"/>
      <c r="J54" s="434"/>
      <c r="K54" s="434"/>
      <c r="L54" s="434"/>
      <c r="M54" s="168"/>
    </row>
    <row r="55" spans="1:13" ht="27" customHeight="1">
      <c r="A55" s="271"/>
      <c r="B55" s="434"/>
      <c r="C55" s="278">
        <f t="shared" si="20"/>
        <v>0</v>
      </c>
      <c r="D55" s="242">
        <f t="shared" si="19"/>
        <v>0</v>
      </c>
      <c r="E55" s="434"/>
      <c r="F55" s="434"/>
      <c r="G55" s="434"/>
      <c r="H55" s="434"/>
      <c r="I55" s="434"/>
      <c r="J55" s="434"/>
      <c r="K55" s="434"/>
      <c r="L55" s="434"/>
      <c r="M55" s="168"/>
    </row>
    <row r="56" spans="1:13" ht="27" customHeight="1">
      <c r="A56" s="271"/>
      <c r="B56" s="434"/>
      <c r="C56" s="278">
        <f t="shared" si="20"/>
        <v>0</v>
      </c>
      <c r="D56" s="242">
        <f t="shared" si="19"/>
        <v>0</v>
      </c>
      <c r="E56" s="434"/>
      <c r="F56" s="434"/>
      <c r="G56" s="434"/>
      <c r="H56" s="434"/>
      <c r="I56" s="434"/>
      <c r="J56" s="434"/>
      <c r="K56" s="434"/>
      <c r="L56" s="434"/>
      <c r="M56" s="168"/>
    </row>
    <row r="57" spans="1:13" ht="27" customHeight="1" thickBot="1">
      <c r="A57" s="271"/>
      <c r="B57" s="435"/>
      <c r="C57" s="245">
        <f t="shared" si="20"/>
        <v>0</v>
      </c>
      <c r="D57" s="245">
        <f t="shared" si="19"/>
        <v>0</v>
      </c>
      <c r="E57" s="435"/>
      <c r="F57" s="435"/>
      <c r="G57" s="435"/>
      <c r="H57" s="435"/>
      <c r="I57" s="435"/>
      <c r="J57" s="435"/>
      <c r="K57" s="435"/>
      <c r="L57" s="433"/>
      <c r="M57" s="168"/>
    </row>
    <row r="58" spans="1:13" ht="30" customHeight="1" thickBot="1">
      <c r="A58" s="280" t="s">
        <v>7</v>
      </c>
      <c r="B58" s="79">
        <f>SUM(B50:B57)</f>
        <v>0</v>
      </c>
      <c r="C58" s="73">
        <f>SUM(C50:C57)</f>
        <v>0</v>
      </c>
      <c r="D58" s="79">
        <f t="shared" ref="D58" si="21">SUM(D50:D57)</f>
        <v>0</v>
      </c>
      <c r="E58" s="79">
        <f t="shared" ref="E58" si="22">SUM(E50:E57)</f>
        <v>0</v>
      </c>
      <c r="F58" s="79">
        <f t="shared" ref="F58" si="23">SUM(F50:F57)</f>
        <v>0</v>
      </c>
      <c r="G58" s="79">
        <f t="shared" ref="G58" si="24">SUM(G50:G57)</f>
        <v>0</v>
      </c>
      <c r="H58" s="79">
        <f t="shared" ref="H58" si="25">SUM(H50:H57)</f>
        <v>0</v>
      </c>
      <c r="I58" s="79">
        <f t="shared" ref="I58" si="26">SUM(I50:I57)</f>
        <v>0</v>
      </c>
      <c r="J58" s="79">
        <f t="shared" ref="J58" si="27">SUM(J50:J57)</f>
        <v>0</v>
      </c>
      <c r="K58" s="79">
        <f t="shared" ref="K58" si="28">SUM(K50:K57)</f>
        <v>0</v>
      </c>
      <c r="L58" s="238">
        <f t="shared" ref="L58" si="29">SUM(L50:L57)</f>
        <v>0</v>
      </c>
      <c r="M58" s="168"/>
    </row>
    <row r="59" spans="1:13" s="200" customFormat="1" ht="38.25" customHeight="1" thickTop="1">
      <c r="A59" s="589" t="s">
        <v>21</v>
      </c>
      <c r="B59" s="589"/>
      <c r="C59" s="240">
        <f>'صفحه اصلی'!C10</f>
        <v>0</v>
      </c>
      <c r="D59" s="589" t="s">
        <v>8</v>
      </c>
      <c r="E59" s="589"/>
      <c r="F59" s="240">
        <f>'صفحه اصلی'!C11</f>
        <v>0</v>
      </c>
      <c r="G59" s="197"/>
      <c r="H59" s="348" t="s">
        <v>9</v>
      </c>
      <c r="I59" s="673">
        <f>'صفحه اصلی'!C12</f>
        <v>0</v>
      </c>
      <c r="J59" s="673"/>
      <c r="K59" s="360" t="s">
        <v>10</v>
      </c>
      <c r="L59" s="352">
        <f>'صفحه اصلی'!C13</f>
        <v>0</v>
      </c>
    </row>
    <row r="60" spans="1:13" ht="26.25" customHeight="1" thickBot="1">
      <c r="A60" s="587" t="s">
        <v>19</v>
      </c>
      <c r="B60" s="587"/>
      <c r="C60" s="587"/>
      <c r="D60" s="587"/>
      <c r="E60" s="587"/>
      <c r="F60" s="587"/>
      <c r="G60" s="587"/>
      <c r="H60" s="587"/>
      <c r="I60" s="587"/>
      <c r="J60" s="587"/>
      <c r="K60" s="587"/>
      <c r="L60" s="266" t="s">
        <v>37</v>
      </c>
    </row>
    <row r="61" spans="1:13" ht="36.75" thickTop="1" thickBot="1">
      <c r="A61" s="582" t="s">
        <v>402</v>
      </c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4"/>
    </row>
    <row r="62" spans="1:13" ht="36" thickBot="1">
      <c r="A62" s="203" t="s">
        <v>11</v>
      </c>
      <c r="B62" s="680"/>
      <c r="C62" s="680"/>
      <c r="D62" s="680"/>
      <c r="E62" s="680"/>
      <c r="F62" s="680"/>
      <c r="G62" s="680"/>
      <c r="H62" s="680"/>
      <c r="I62" s="680"/>
      <c r="J62" s="680"/>
      <c r="K62" s="680"/>
      <c r="L62" s="681"/>
    </row>
    <row r="63" spans="1:13" s="4" customFormat="1" ht="36" customHeight="1" thickTop="1">
      <c r="A63" s="646" t="s">
        <v>30</v>
      </c>
      <c r="B63" s="646"/>
      <c r="C63" s="646"/>
      <c r="D63" s="646"/>
      <c r="E63" s="646"/>
      <c r="F63" s="646"/>
      <c r="G63" s="646"/>
      <c r="H63" s="646"/>
      <c r="I63" s="646"/>
      <c r="J63" s="646"/>
      <c r="K63" s="646"/>
      <c r="L63" s="646"/>
    </row>
    <row r="64" spans="1:13" s="67" customFormat="1" ht="28.5" customHeight="1">
      <c r="A64" s="611" t="s">
        <v>0</v>
      </c>
      <c r="B64" s="611"/>
      <c r="C64" s="241">
        <f>'صفحه اصلی'!C7</f>
        <v>0</v>
      </c>
      <c r="D64" s="241"/>
      <c r="E64" s="241"/>
      <c r="F64" s="241"/>
      <c r="G64" s="241"/>
      <c r="H64" s="241"/>
      <c r="I64" s="241"/>
      <c r="J64" s="241"/>
      <c r="K64" s="241"/>
      <c r="L64" s="241"/>
    </row>
    <row r="65" spans="1:13" s="210" customFormat="1" ht="28.5" customHeight="1" thickBot="1">
      <c r="A65" s="612" t="s">
        <v>1</v>
      </c>
      <c r="B65" s="612"/>
      <c r="C65" s="359">
        <f>'صفحه اصلی'!C8</f>
        <v>0</v>
      </c>
      <c r="D65" s="356" t="s">
        <v>31</v>
      </c>
      <c r="E65" s="324"/>
      <c r="G65" s="356" t="s">
        <v>54</v>
      </c>
      <c r="H65" s="276">
        <f>'صفحه اصلی'!C9</f>
        <v>0</v>
      </c>
      <c r="I65" s="276"/>
      <c r="J65" s="276"/>
      <c r="K65" s="277"/>
      <c r="L65" s="277"/>
    </row>
    <row r="66" spans="1:13" ht="24" customHeight="1" thickTop="1">
      <c r="A66" s="674" t="s">
        <v>12</v>
      </c>
      <c r="B66" s="676" t="s">
        <v>16</v>
      </c>
      <c r="C66" s="676" t="s">
        <v>32</v>
      </c>
      <c r="D66" s="676" t="s">
        <v>33</v>
      </c>
      <c r="E66" s="676" t="s">
        <v>34</v>
      </c>
      <c r="F66" s="676" t="s">
        <v>35</v>
      </c>
      <c r="G66" s="676" t="s">
        <v>383</v>
      </c>
      <c r="H66" s="676" t="s">
        <v>2</v>
      </c>
      <c r="I66" s="676" t="s">
        <v>68</v>
      </c>
      <c r="J66" s="676" t="s">
        <v>69</v>
      </c>
      <c r="K66" s="676" t="s">
        <v>61</v>
      </c>
      <c r="L66" s="678" t="s">
        <v>3</v>
      </c>
    </row>
    <row r="67" spans="1:13" ht="24" customHeight="1" thickBot="1">
      <c r="A67" s="675"/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9"/>
      <c r="M67" s="168"/>
    </row>
    <row r="68" spans="1:13" ht="27.75" customHeight="1">
      <c r="A68" s="271"/>
      <c r="B68" s="434"/>
      <c r="C68" s="243">
        <f>B68</f>
        <v>0</v>
      </c>
      <c r="D68" s="407">
        <f t="shared" ref="D68:D75" si="30">SUM(E68:J68)</f>
        <v>0</v>
      </c>
      <c r="E68" s="112"/>
      <c r="F68" s="112"/>
      <c r="G68" s="112"/>
      <c r="H68" s="112"/>
      <c r="I68" s="112"/>
      <c r="J68" s="112"/>
      <c r="K68" s="112"/>
      <c r="L68" s="434"/>
      <c r="M68" s="168"/>
    </row>
    <row r="69" spans="1:13" ht="27" customHeight="1">
      <c r="A69" s="271"/>
      <c r="B69" s="434"/>
      <c r="C69" s="243">
        <f t="shared" ref="C69:C75" si="31">B69</f>
        <v>0</v>
      </c>
      <c r="D69" s="219">
        <f t="shared" si="30"/>
        <v>0</v>
      </c>
      <c r="E69" s="223"/>
      <c r="F69" s="223"/>
      <c r="G69" s="223"/>
      <c r="H69" s="223"/>
      <c r="I69" s="223"/>
      <c r="J69" s="223"/>
      <c r="K69" s="223"/>
      <c r="L69" s="434"/>
      <c r="M69" s="168"/>
    </row>
    <row r="70" spans="1:13" ht="27" customHeight="1">
      <c r="A70" s="271"/>
      <c r="B70" s="434"/>
      <c r="C70" s="243">
        <f t="shared" si="31"/>
        <v>0</v>
      </c>
      <c r="D70" s="219">
        <f t="shared" si="30"/>
        <v>0</v>
      </c>
      <c r="E70" s="223"/>
      <c r="F70" s="223"/>
      <c r="G70" s="223"/>
      <c r="H70" s="223"/>
      <c r="I70" s="223"/>
      <c r="J70" s="223"/>
      <c r="K70" s="223"/>
      <c r="L70" s="434"/>
      <c r="M70" s="168"/>
    </row>
    <row r="71" spans="1:13" ht="27" customHeight="1">
      <c r="A71" s="271"/>
      <c r="B71" s="434"/>
      <c r="C71" s="243">
        <f t="shared" si="31"/>
        <v>0</v>
      </c>
      <c r="D71" s="219">
        <f t="shared" si="30"/>
        <v>0</v>
      </c>
      <c r="E71" s="223"/>
      <c r="F71" s="223"/>
      <c r="G71" s="223"/>
      <c r="H71" s="223"/>
      <c r="I71" s="223"/>
      <c r="J71" s="223"/>
      <c r="K71" s="223"/>
      <c r="L71" s="434"/>
      <c r="M71" s="168"/>
    </row>
    <row r="72" spans="1:13" ht="27" customHeight="1">
      <c r="A72" s="271"/>
      <c r="B72" s="434"/>
      <c r="C72" s="243">
        <f t="shared" si="31"/>
        <v>0</v>
      </c>
      <c r="D72" s="219">
        <f t="shared" si="30"/>
        <v>0</v>
      </c>
      <c r="E72" s="223"/>
      <c r="F72" s="223"/>
      <c r="G72" s="223"/>
      <c r="H72" s="223"/>
      <c r="I72" s="223"/>
      <c r="J72" s="223"/>
      <c r="K72" s="223"/>
      <c r="L72" s="434"/>
      <c r="M72" s="168"/>
    </row>
    <row r="73" spans="1:13" ht="27" customHeight="1">
      <c r="A73" s="271"/>
      <c r="B73" s="434"/>
      <c r="C73" s="243">
        <f t="shared" si="31"/>
        <v>0</v>
      </c>
      <c r="D73" s="219">
        <f t="shared" si="30"/>
        <v>0</v>
      </c>
      <c r="E73" s="223"/>
      <c r="F73" s="223"/>
      <c r="G73" s="223"/>
      <c r="H73" s="223"/>
      <c r="I73" s="223"/>
      <c r="J73" s="223"/>
      <c r="K73" s="223"/>
      <c r="L73" s="434"/>
      <c r="M73" s="168"/>
    </row>
    <row r="74" spans="1:13" ht="27" customHeight="1">
      <c r="A74" s="271"/>
      <c r="B74" s="434"/>
      <c r="C74" s="243">
        <f t="shared" si="31"/>
        <v>0</v>
      </c>
      <c r="D74" s="219">
        <f t="shared" si="30"/>
        <v>0</v>
      </c>
      <c r="E74" s="223"/>
      <c r="F74" s="223"/>
      <c r="G74" s="223"/>
      <c r="H74" s="223"/>
      <c r="I74" s="223"/>
      <c r="J74" s="223"/>
      <c r="K74" s="223"/>
      <c r="L74" s="434"/>
      <c r="M74" s="168"/>
    </row>
    <row r="75" spans="1:13" ht="27" customHeight="1" thickBot="1">
      <c r="A75" s="271"/>
      <c r="B75" s="435"/>
      <c r="C75" s="229">
        <f t="shared" si="31"/>
        <v>0</v>
      </c>
      <c r="D75" s="229">
        <f t="shared" si="30"/>
        <v>0</v>
      </c>
      <c r="E75" s="114"/>
      <c r="F75" s="114"/>
      <c r="G75" s="114"/>
      <c r="H75" s="114"/>
      <c r="I75" s="114"/>
      <c r="J75" s="114"/>
      <c r="K75" s="114"/>
      <c r="L75" s="433"/>
      <c r="M75" s="168"/>
    </row>
    <row r="76" spans="1:13" ht="30" customHeight="1" thickBot="1">
      <c r="A76" s="280" t="s">
        <v>7</v>
      </c>
      <c r="B76" s="79">
        <f>SUM(B68:B75)</f>
        <v>0</v>
      </c>
      <c r="C76" s="73">
        <f>SUM(C68:C75)</f>
        <v>0</v>
      </c>
      <c r="D76" s="79">
        <f t="shared" ref="D76" si="32">SUM(D68:D75)</f>
        <v>0</v>
      </c>
      <c r="E76" s="79">
        <f t="shared" ref="E76" si="33">SUM(E68:E75)</f>
        <v>0</v>
      </c>
      <c r="F76" s="79">
        <f t="shared" ref="F76" si="34">SUM(F68:F75)</f>
        <v>0</v>
      </c>
      <c r="G76" s="79">
        <f t="shared" ref="G76" si="35">SUM(G68:G75)</f>
        <v>0</v>
      </c>
      <c r="H76" s="79">
        <f t="shared" ref="H76" si="36">SUM(H68:H75)</f>
        <v>0</v>
      </c>
      <c r="I76" s="79">
        <f t="shared" ref="I76" si="37">SUM(I68:I75)</f>
        <v>0</v>
      </c>
      <c r="J76" s="79">
        <f t="shared" ref="J76" si="38">SUM(J68:J75)</f>
        <v>0</v>
      </c>
      <c r="K76" s="79">
        <f t="shared" ref="K76" si="39">SUM(K68:K75)</f>
        <v>0</v>
      </c>
      <c r="L76" s="238">
        <f t="shared" ref="L76" si="40">SUM(L68:L75)</f>
        <v>0</v>
      </c>
      <c r="M76" s="168"/>
    </row>
    <row r="77" spans="1:13" s="200" customFormat="1" ht="38.25" customHeight="1" thickTop="1">
      <c r="A77" s="589" t="s">
        <v>21</v>
      </c>
      <c r="B77" s="589"/>
      <c r="C77" s="240">
        <f>'صفحه اصلی'!C10</f>
        <v>0</v>
      </c>
      <c r="D77" s="589" t="s">
        <v>8</v>
      </c>
      <c r="E77" s="589"/>
      <c r="F77" s="240">
        <f>'صفحه اصلی'!C11</f>
        <v>0</v>
      </c>
      <c r="G77" s="197"/>
      <c r="H77" s="348" t="s">
        <v>9</v>
      </c>
      <c r="I77" s="673">
        <f>'صفحه اصلی'!C12</f>
        <v>0</v>
      </c>
      <c r="J77" s="673"/>
      <c r="K77" s="360" t="s">
        <v>10</v>
      </c>
      <c r="L77" s="352">
        <f>'صفحه اصلی'!C13</f>
        <v>0</v>
      </c>
    </row>
    <row r="78" spans="1:13" ht="26.25" customHeight="1" thickBot="1">
      <c r="A78" s="587" t="s">
        <v>19</v>
      </c>
      <c r="B78" s="587"/>
      <c r="C78" s="587"/>
      <c r="D78" s="587"/>
      <c r="E78" s="587"/>
      <c r="F78" s="587"/>
      <c r="G78" s="587"/>
      <c r="H78" s="587"/>
      <c r="I78" s="587"/>
      <c r="J78" s="587"/>
      <c r="K78" s="587"/>
      <c r="L78" s="266" t="s">
        <v>37</v>
      </c>
    </row>
    <row r="79" spans="1:13" ht="36.75" thickTop="1" thickBot="1">
      <c r="A79" s="582" t="s">
        <v>402</v>
      </c>
      <c r="B79" s="583"/>
      <c r="C79" s="583"/>
      <c r="D79" s="583"/>
      <c r="E79" s="583"/>
      <c r="F79" s="583"/>
      <c r="G79" s="583"/>
      <c r="H79" s="583"/>
      <c r="I79" s="583"/>
      <c r="J79" s="583"/>
      <c r="K79" s="583"/>
      <c r="L79" s="584"/>
    </row>
    <row r="80" spans="1:13" ht="36" thickBot="1">
      <c r="A80" s="203" t="s">
        <v>11</v>
      </c>
      <c r="B80" s="680"/>
      <c r="C80" s="680"/>
      <c r="D80" s="680"/>
      <c r="E80" s="680"/>
      <c r="F80" s="680"/>
      <c r="G80" s="680"/>
      <c r="H80" s="680"/>
      <c r="I80" s="680"/>
      <c r="J80" s="680"/>
      <c r="K80" s="680"/>
      <c r="L80" s="681"/>
    </row>
    <row r="81" spans="1:13" s="4" customFormat="1" ht="36" customHeight="1" thickTop="1">
      <c r="A81" s="646" t="s">
        <v>30</v>
      </c>
      <c r="B81" s="646"/>
      <c r="C81" s="646"/>
      <c r="D81" s="646"/>
      <c r="E81" s="646"/>
      <c r="F81" s="646"/>
      <c r="G81" s="646"/>
      <c r="H81" s="646"/>
      <c r="I81" s="646"/>
      <c r="J81" s="646"/>
      <c r="K81" s="646"/>
      <c r="L81" s="646"/>
    </row>
    <row r="82" spans="1:13" s="67" customFormat="1" ht="28.5" customHeight="1">
      <c r="A82" s="611" t="s">
        <v>0</v>
      </c>
      <c r="B82" s="611"/>
      <c r="C82" s="241">
        <f>'صفحه اصلی'!C7</f>
        <v>0</v>
      </c>
      <c r="D82" s="241"/>
      <c r="E82" s="241"/>
      <c r="F82" s="241"/>
      <c r="G82" s="241"/>
      <c r="H82" s="241"/>
      <c r="I82" s="241"/>
      <c r="J82" s="241"/>
      <c r="K82" s="241"/>
      <c r="L82" s="241"/>
    </row>
    <row r="83" spans="1:13" s="210" customFormat="1" ht="28.5" customHeight="1" thickBot="1">
      <c r="A83" s="612" t="s">
        <v>1</v>
      </c>
      <c r="B83" s="612"/>
      <c r="C83" s="359">
        <f>'صفحه اصلی'!C8</f>
        <v>0</v>
      </c>
      <c r="D83" s="356" t="s">
        <v>31</v>
      </c>
      <c r="E83" s="324"/>
      <c r="G83" s="356" t="s">
        <v>54</v>
      </c>
      <c r="H83" s="276">
        <f>'صفحه اصلی'!C9</f>
        <v>0</v>
      </c>
      <c r="I83" s="276"/>
      <c r="J83" s="276"/>
      <c r="K83" s="277"/>
      <c r="L83" s="277"/>
    </row>
    <row r="84" spans="1:13" ht="24" customHeight="1" thickTop="1">
      <c r="A84" s="674" t="s">
        <v>12</v>
      </c>
      <c r="B84" s="676" t="s">
        <v>16</v>
      </c>
      <c r="C84" s="676" t="s">
        <v>32</v>
      </c>
      <c r="D84" s="676" t="s">
        <v>33</v>
      </c>
      <c r="E84" s="676" t="s">
        <v>34</v>
      </c>
      <c r="F84" s="676" t="s">
        <v>35</v>
      </c>
      <c r="G84" s="676" t="s">
        <v>383</v>
      </c>
      <c r="H84" s="676" t="s">
        <v>2</v>
      </c>
      <c r="I84" s="676" t="s">
        <v>68</v>
      </c>
      <c r="J84" s="676" t="s">
        <v>69</v>
      </c>
      <c r="K84" s="676" t="s">
        <v>61</v>
      </c>
      <c r="L84" s="678" t="s">
        <v>3</v>
      </c>
    </row>
    <row r="85" spans="1:13" ht="24" customHeight="1" thickBot="1">
      <c r="A85" s="675"/>
      <c r="B85" s="677"/>
      <c r="C85" s="677"/>
      <c r="D85" s="677"/>
      <c r="E85" s="677"/>
      <c r="F85" s="677"/>
      <c r="G85" s="677"/>
      <c r="H85" s="677"/>
      <c r="I85" s="677"/>
      <c r="J85" s="677"/>
      <c r="K85" s="677"/>
      <c r="L85" s="679"/>
    </row>
    <row r="86" spans="1:13" ht="27.75" customHeight="1">
      <c r="A86" s="271"/>
      <c r="B86" s="434"/>
      <c r="C86" s="243">
        <f>B86</f>
        <v>0</v>
      </c>
      <c r="D86" s="407">
        <f t="shared" ref="D86:D93" si="41">SUM(E86:J86)</f>
        <v>0</v>
      </c>
      <c r="E86" s="112"/>
      <c r="F86" s="112"/>
      <c r="G86" s="112"/>
      <c r="H86" s="112"/>
      <c r="I86" s="112"/>
      <c r="J86" s="112"/>
      <c r="K86" s="112"/>
      <c r="L86" s="434"/>
    </row>
    <row r="87" spans="1:13" ht="27" customHeight="1">
      <c r="A87" s="271"/>
      <c r="B87" s="434"/>
      <c r="C87" s="243">
        <f t="shared" ref="C87:C93" si="42">B87</f>
        <v>0</v>
      </c>
      <c r="D87" s="219">
        <f t="shared" si="41"/>
        <v>0</v>
      </c>
      <c r="E87" s="223"/>
      <c r="F87" s="223"/>
      <c r="G87" s="223"/>
      <c r="H87" s="223"/>
      <c r="I87" s="223"/>
      <c r="J87" s="223"/>
      <c r="K87" s="223"/>
      <c r="L87" s="434"/>
    </row>
    <row r="88" spans="1:13" ht="27" customHeight="1">
      <c r="A88" s="271"/>
      <c r="B88" s="434"/>
      <c r="C88" s="243">
        <f t="shared" si="42"/>
        <v>0</v>
      </c>
      <c r="D88" s="219">
        <f t="shared" si="41"/>
        <v>0</v>
      </c>
      <c r="E88" s="223"/>
      <c r="F88" s="223"/>
      <c r="G88" s="223"/>
      <c r="H88" s="223"/>
      <c r="I88" s="223"/>
      <c r="J88" s="223"/>
      <c r="K88" s="223"/>
      <c r="L88" s="434"/>
    </row>
    <row r="89" spans="1:13" ht="27" customHeight="1">
      <c r="A89" s="271"/>
      <c r="B89" s="434"/>
      <c r="C89" s="243">
        <f t="shared" si="42"/>
        <v>0</v>
      </c>
      <c r="D89" s="219">
        <f t="shared" si="41"/>
        <v>0</v>
      </c>
      <c r="E89" s="223"/>
      <c r="F89" s="223"/>
      <c r="G89" s="223"/>
      <c r="H89" s="223"/>
      <c r="I89" s="223"/>
      <c r="J89" s="223"/>
      <c r="K89" s="223"/>
      <c r="L89" s="434"/>
    </row>
    <row r="90" spans="1:13" ht="27" customHeight="1">
      <c r="A90" s="271"/>
      <c r="B90" s="434"/>
      <c r="C90" s="243">
        <f t="shared" si="42"/>
        <v>0</v>
      </c>
      <c r="D90" s="219">
        <f t="shared" si="41"/>
        <v>0</v>
      </c>
      <c r="E90" s="223"/>
      <c r="F90" s="223"/>
      <c r="G90" s="223"/>
      <c r="H90" s="223"/>
      <c r="I90" s="223"/>
      <c r="J90" s="223"/>
      <c r="K90" s="223"/>
      <c r="L90" s="434"/>
    </row>
    <row r="91" spans="1:13" ht="27" customHeight="1">
      <c r="A91" s="271"/>
      <c r="B91" s="434"/>
      <c r="C91" s="243">
        <f t="shared" si="42"/>
        <v>0</v>
      </c>
      <c r="D91" s="219">
        <f t="shared" si="41"/>
        <v>0</v>
      </c>
      <c r="E91" s="223"/>
      <c r="F91" s="223"/>
      <c r="G91" s="223"/>
      <c r="H91" s="223"/>
      <c r="I91" s="223"/>
      <c r="J91" s="223"/>
      <c r="K91" s="223"/>
      <c r="L91" s="434"/>
    </row>
    <row r="92" spans="1:13" ht="27" customHeight="1">
      <c r="A92" s="271"/>
      <c r="B92" s="434"/>
      <c r="C92" s="243">
        <f t="shared" si="42"/>
        <v>0</v>
      </c>
      <c r="D92" s="219">
        <f t="shared" si="41"/>
        <v>0</v>
      </c>
      <c r="E92" s="223"/>
      <c r="F92" s="223"/>
      <c r="G92" s="223"/>
      <c r="H92" s="223"/>
      <c r="I92" s="223"/>
      <c r="J92" s="223"/>
      <c r="K92" s="223"/>
      <c r="L92" s="434"/>
    </row>
    <row r="93" spans="1:13" ht="27" customHeight="1" thickBot="1">
      <c r="A93" s="271"/>
      <c r="B93" s="435"/>
      <c r="C93" s="229">
        <f t="shared" si="42"/>
        <v>0</v>
      </c>
      <c r="D93" s="229">
        <f t="shared" si="41"/>
        <v>0</v>
      </c>
      <c r="E93" s="114"/>
      <c r="F93" s="114"/>
      <c r="G93" s="114"/>
      <c r="H93" s="114"/>
      <c r="I93" s="114"/>
      <c r="J93" s="114"/>
      <c r="K93" s="114"/>
      <c r="L93" s="435"/>
    </row>
    <row r="94" spans="1:13" ht="30" customHeight="1" thickBot="1">
      <c r="A94" s="280" t="s">
        <v>7</v>
      </c>
      <c r="B94" s="79">
        <f>SUM(B86:B93)</f>
        <v>0</v>
      </c>
      <c r="C94" s="73">
        <f>SUM(C86:C93)</f>
        <v>0</v>
      </c>
      <c r="D94" s="79">
        <f t="shared" ref="D94" si="43">SUM(D86:D93)</f>
        <v>0</v>
      </c>
      <c r="E94" s="79">
        <f t="shared" ref="E94" si="44">SUM(E86:E93)</f>
        <v>0</v>
      </c>
      <c r="F94" s="79">
        <f t="shared" ref="F94" si="45">SUM(F86:F93)</f>
        <v>0</v>
      </c>
      <c r="G94" s="79">
        <f t="shared" ref="G94" si="46">SUM(G86:G93)</f>
        <v>0</v>
      </c>
      <c r="H94" s="79">
        <f t="shared" ref="H94" si="47">SUM(H86:H93)</f>
        <v>0</v>
      </c>
      <c r="I94" s="79">
        <f t="shared" ref="I94" si="48">SUM(I86:I93)</f>
        <v>0</v>
      </c>
      <c r="J94" s="79">
        <f t="shared" ref="J94" si="49">SUM(J86:J93)</f>
        <v>0</v>
      </c>
      <c r="K94" s="79">
        <f t="shared" ref="K94" si="50">SUM(K86:K93)</f>
        <v>0</v>
      </c>
      <c r="L94" s="238">
        <f t="shared" ref="L94" si="51">SUM(L86:L93)</f>
        <v>0</v>
      </c>
      <c r="M94" s="168"/>
    </row>
    <row r="95" spans="1:13" s="200" customFormat="1" ht="38.25" customHeight="1" thickTop="1">
      <c r="A95" s="589" t="s">
        <v>21</v>
      </c>
      <c r="B95" s="589"/>
      <c r="C95" s="240">
        <f>'صفحه اصلی'!C10</f>
        <v>0</v>
      </c>
      <c r="D95" s="589" t="s">
        <v>8</v>
      </c>
      <c r="E95" s="589"/>
      <c r="F95" s="240">
        <f>'صفحه اصلی'!C11</f>
        <v>0</v>
      </c>
      <c r="G95" s="197"/>
      <c r="H95" s="348" t="s">
        <v>9</v>
      </c>
      <c r="I95" s="673">
        <f>'صفحه اصلی'!C12</f>
        <v>0</v>
      </c>
      <c r="J95" s="673"/>
      <c r="K95" s="360" t="s">
        <v>10</v>
      </c>
      <c r="L95" s="352">
        <f>'صفحه اصلی'!C13</f>
        <v>0</v>
      </c>
    </row>
    <row r="96" spans="1:13" ht="26.25" customHeight="1" thickBot="1">
      <c r="A96" s="587" t="s">
        <v>19</v>
      </c>
      <c r="B96" s="587"/>
      <c r="C96" s="587"/>
      <c r="D96" s="587"/>
      <c r="E96" s="587"/>
      <c r="F96" s="587"/>
      <c r="G96" s="587"/>
      <c r="H96" s="587"/>
      <c r="I96" s="587"/>
      <c r="J96" s="587"/>
      <c r="K96" s="587"/>
      <c r="L96" s="266" t="s">
        <v>37</v>
      </c>
    </row>
    <row r="97" spans="1:13" ht="36.75" thickTop="1" thickBot="1">
      <c r="A97" s="582" t="s">
        <v>402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4"/>
    </row>
    <row r="98" spans="1:13" ht="36" thickBot="1">
      <c r="A98" s="203" t="s">
        <v>11</v>
      </c>
      <c r="B98" s="680"/>
      <c r="C98" s="680"/>
      <c r="D98" s="680"/>
      <c r="E98" s="680"/>
      <c r="F98" s="680"/>
      <c r="G98" s="680"/>
      <c r="H98" s="680"/>
      <c r="I98" s="680"/>
      <c r="J98" s="680"/>
      <c r="K98" s="680"/>
      <c r="L98" s="681"/>
    </row>
    <row r="99" spans="1:13" s="4" customFormat="1" ht="36" customHeight="1" thickTop="1">
      <c r="A99" s="646" t="s">
        <v>30</v>
      </c>
      <c r="B99" s="646"/>
      <c r="C99" s="646"/>
      <c r="D99" s="646"/>
      <c r="E99" s="646"/>
      <c r="F99" s="646"/>
      <c r="G99" s="646"/>
      <c r="H99" s="646"/>
      <c r="I99" s="646"/>
      <c r="J99" s="646"/>
      <c r="K99" s="646"/>
      <c r="L99" s="646"/>
    </row>
    <row r="100" spans="1:13" s="67" customFormat="1" ht="28.5" customHeight="1">
      <c r="A100" s="611" t="s">
        <v>0</v>
      </c>
      <c r="B100" s="611"/>
      <c r="C100" s="241">
        <f>'صفحه اصلی'!C7</f>
        <v>0</v>
      </c>
      <c r="D100" s="241"/>
      <c r="E100" s="241"/>
      <c r="F100" s="241"/>
      <c r="G100" s="241"/>
      <c r="H100" s="241"/>
      <c r="I100" s="241"/>
      <c r="J100" s="241"/>
      <c r="K100" s="241"/>
      <c r="L100" s="241"/>
    </row>
    <row r="101" spans="1:13" s="210" customFormat="1" ht="28.5" customHeight="1" thickBot="1">
      <c r="A101" s="612" t="s">
        <v>1</v>
      </c>
      <c r="B101" s="612"/>
      <c r="C101" s="359">
        <f>'صفحه اصلی'!C8</f>
        <v>0</v>
      </c>
      <c r="D101" s="356" t="s">
        <v>31</v>
      </c>
      <c r="E101" s="324"/>
      <c r="G101" s="356" t="s">
        <v>54</v>
      </c>
      <c r="H101" s="276">
        <f>'صفحه اصلی'!C9</f>
        <v>0</v>
      </c>
      <c r="I101" s="276"/>
      <c r="J101" s="276"/>
      <c r="K101" s="277"/>
      <c r="L101" s="277"/>
    </row>
    <row r="102" spans="1:13" ht="24" customHeight="1" thickTop="1">
      <c r="A102" s="674" t="s">
        <v>12</v>
      </c>
      <c r="B102" s="676" t="s">
        <v>16</v>
      </c>
      <c r="C102" s="676" t="s">
        <v>32</v>
      </c>
      <c r="D102" s="676" t="s">
        <v>33</v>
      </c>
      <c r="E102" s="676" t="s">
        <v>34</v>
      </c>
      <c r="F102" s="676" t="s">
        <v>35</v>
      </c>
      <c r="G102" s="676" t="s">
        <v>383</v>
      </c>
      <c r="H102" s="676" t="s">
        <v>2</v>
      </c>
      <c r="I102" s="676" t="s">
        <v>68</v>
      </c>
      <c r="J102" s="676" t="s">
        <v>69</v>
      </c>
      <c r="K102" s="676" t="s">
        <v>61</v>
      </c>
      <c r="L102" s="678" t="s">
        <v>3</v>
      </c>
    </row>
    <row r="103" spans="1:13" ht="24" customHeight="1" thickBot="1">
      <c r="A103" s="675"/>
      <c r="B103" s="677"/>
      <c r="C103" s="677"/>
      <c r="D103" s="677"/>
      <c r="E103" s="677"/>
      <c r="F103" s="677"/>
      <c r="G103" s="677"/>
      <c r="H103" s="677"/>
      <c r="I103" s="677"/>
      <c r="J103" s="677"/>
      <c r="K103" s="677"/>
      <c r="L103" s="679"/>
      <c r="M103" s="168"/>
    </row>
    <row r="104" spans="1:13" ht="27.75" customHeight="1">
      <c r="A104" s="271"/>
      <c r="B104" s="434"/>
      <c r="C104" s="278">
        <f>B104</f>
        <v>0</v>
      </c>
      <c r="D104" s="278">
        <f t="shared" ref="D104:D111" si="52">SUM(E104:J104)</f>
        <v>0</v>
      </c>
      <c r="E104" s="434"/>
      <c r="F104" s="434"/>
      <c r="G104" s="434"/>
      <c r="H104" s="434"/>
      <c r="I104" s="434"/>
      <c r="J104" s="434"/>
      <c r="K104" s="434"/>
      <c r="L104" s="434"/>
      <c r="M104" s="168"/>
    </row>
    <row r="105" spans="1:13" ht="27" customHeight="1">
      <c r="A105" s="271"/>
      <c r="B105" s="434"/>
      <c r="C105" s="278">
        <f t="shared" ref="C105:C111" si="53">B105</f>
        <v>0</v>
      </c>
      <c r="D105" s="278">
        <f t="shared" si="52"/>
        <v>0</v>
      </c>
      <c r="E105" s="434"/>
      <c r="F105" s="434"/>
      <c r="G105" s="434"/>
      <c r="H105" s="434"/>
      <c r="I105" s="434"/>
      <c r="J105" s="434"/>
      <c r="K105" s="434"/>
      <c r="L105" s="434"/>
      <c r="M105" s="168"/>
    </row>
    <row r="106" spans="1:13" ht="27" customHeight="1">
      <c r="A106" s="271"/>
      <c r="B106" s="434"/>
      <c r="C106" s="278">
        <f t="shared" si="53"/>
        <v>0</v>
      </c>
      <c r="D106" s="278">
        <f t="shared" si="52"/>
        <v>0</v>
      </c>
      <c r="E106" s="434"/>
      <c r="F106" s="434"/>
      <c r="G106" s="434"/>
      <c r="H106" s="434"/>
      <c r="I106" s="434"/>
      <c r="J106" s="434"/>
      <c r="K106" s="434"/>
      <c r="L106" s="434"/>
      <c r="M106" s="168"/>
    </row>
    <row r="107" spans="1:13" ht="27" customHeight="1">
      <c r="A107" s="271"/>
      <c r="B107" s="434"/>
      <c r="C107" s="278">
        <f t="shared" si="53"/>
        <v>0</v>
      </c>
      <c r="D107" s="278">
        <f t="shared" si="52"/>
        <v>0</v>
      </c>
      <c r="E107" s="434"/>
      <c r="F107" s="434"/>
      <c r="G107" s="434"/>
      <c r="H107" s="434"/>
      <c r="I107" s="434"/>
      <c r="J107" s="434"/>
      <c r="K107" s="434"/>
      <c r="L107" s="434"/>
      <c r="M107" s="168"/>
    </row>
    <row r="108" spans="1:13" ht="27" customHeight="1">
      <c r="A108" s="271"/>
      <c r="B108" s="434"/>
      <c r="C108" s="278">
        <f t="shared" si="53"/>
        <v>0</v>
      </c>
      <c r="D108" s="278">
        <f t="shared" si="52"/>
        <v>0</v>
      </c>
      <c r="E108" s="434"/>
      <c r="F108" s="434"/>
      <c r="G108" s="434"/>
      <c r="H108" s="434"/>
      <c r="I108" s="434"/>
      <c r="J108" s="434"/>
      <c r="K108" s="434"/>
      <c r="L108" s="434"/>
      <c r="M108" s="168"/>
    </row>
    <row r="109" spans="1:13" ht="27" customHeight="1">
      <c r="A109" s="271"/>
      <c r="B109" s="434"/>
      <c r="C109" s="278">
        <f t="shared" si="53"/>
        <v>0</v>
      </c>
      <c r="D109" s="278">
        <f t="shared" si="52"/>
        <v>0</v>
      </c>
      <c r="E109" s="434"/>
      <c r="F109" s="434"/>
      <c r="G109" s="434"/>
      <c r="H109" s="434"/>
      <c r="I109" s="434"/>
      <c r="J109" s="434"/>
      <c r="K109" s="434"/>
      <c r="L109" s="434"/>
      <c r="M109" s="168"/>
    </row>
    <row r="110" spans="1:13" ht="27" customHeight="1">
      <c r="A110" s="271"/>
      <c r="B110" s="434"/>
      <c r="C110" s="278">
        <f t="shared" si="53"/>
        <v>0</v>
      </c>
      <c r="D110" s="278">
        <f t="shared" si="52"/>
        <v>0</v>
      </c>
      <c r="E110" s="434"/>
      <c r="F110" s="434"/>
      <c r="G110" s="434"/>
      <c r="H110" s="434"/>
      <c r="I110" s="434"/>
      <c r="J110" s="434"/>
      <c r="K110" s="434"/>
      <c r="L110" s="434"/>
      <c r="M110" s="168"/>
    </row>
    <row r="111" spans="1:13" ht="27" customHeight="1" thickBot="1">
      <c r="A111" s="271"/>
      <c r="B111" s="114"/>
      <c r="C111" s="245">
        <f t="shared" si="53"/>
        <v>0</v>
      </c>
      <c r="D111" s="279">
        <f t="shared" si="52"/>
        <v>0</v>
      </c>
      <c r="E111" s="435"/>
      <c r="F111" s="435"/>
      <c r="G111" s="435"/>
      <c r="H111" s="435"/>
      <c r="I111" s="435"/>
      <c r="J111" s="435"/>
      <c r="K111" s="435"/>
      <c r="L111" s="433"/>
      <c r="M111" s="168"/>
    </row>
    <row r="112" spans="1:13" ht="30" customHeight="1" thickBot="1">
      <c r="A112" s="280" t="s">
        <v>7</v>
      </c>
      <c r="B112" s="79">
        <f>SUM(B104:B111)</f>
        <v>0</v>
      </c>
      <c r="C112" s="73">
        <f>SUM(C104:C111)</f>
        <v>0</v>
      </c>
      <c r="D112" s="79">
        <f t="shared" ref="D112:L112" si="54">SUM(D104:D111)</f>
        <v>0</v>
      </c>
      <c r="E112" s="79">
        <f t="shared" si="54"/>
        <v>0</v>
      </c>
      <c r="F112" s="79">
        <f t="shared" si="54"/>
        <v>0</v>
      </c>
      <c r="G112" s="79">
        <f t="shared" si="54"/>
        <v>0</v>
      </c>
      <c r="H112" s="79">
        <f t="shared" si="54"/>
        <v>0</v>
      </c>
      <c r="I112" s="79">
        <f t="shared" si="54"/>
        <v>0</v>
      </c>
      <c r="J112" s="79">
        <f t="shared" si="54"/>
        <v>0</v>
      </c>
      <c r="K112" s="79">
        <f t="shared" si="54"/>
        <v>0</v>
      </c>
      <c r="L112" s="238">
        <f t="shared" si="54"/>
        <v>0</v>
      </c>
      <c r="M112" s="168"/>
    </row>
    <row r="113" spans="1:13" s="200" customFormat="1" ht="38.25" customHeight="1" thickTop="1">
      <c r="A113" s="589" t="s">
        <v>21</v>
      </c>
      <c r="B113" s="589"/>
      <c r="C113" s="240">
        <f>'صفحه اصلی'!C10</f>
        <v>0</v>
      </c>
      <c r="D113" s="589" t="s">
        <v>8</v>
      </c>
      <c r="E113" s="589"/>
      <c r="F113" s="240">
        <f>'صفحه اصلی'!C11</f>
        <v>0</v>
      </c>
      <c r="G113" s="197"/>
      <c r="H113" s="348" t="s">
        <v>9</v>
      </c>
      <c r="I113" s="673">
        <f>'صفحه اصلی'!C12</f>
        <v>0</v>
      </c>
      <c r="J113" s="673"/>
      <c r="K113" s="360" t="s">
        <v>10</v>
      </c>
      <c r="L113" s="352">
        <f>'صفحه اصلی'!C13</f>
        <v>0</v>
      </c>
    </row>
    <row r="114" spans="1:13" ht="26.25" customHeight="1" thickBot="1">
      <c r="A114" s="587" t="s">
        <v>19</v>
      </c>
      <c r="B114" s="587"/>
      <c r="C114" s="587"/>
      <c r="D114" s="587"/>
      <c r="E114" s="587"/>
      <c r="F114" s="587"/>
      <c r="G114" s="587"/>
      <c r="H114" s="587"/>
      <c r="I114" s="587"/>
      <c r="J114" s="587"/>
      <c r="K114" s="587"/>
      <c r="L114" s="266" t="s">
        <v>37</v>
      </c>
    </row>
    <row r="115" spans="1:13" ht="36.75" thickTop="1" thickBot="1">
      <c r="A115" s="582" t="s">
        <v>402</v>
      </c>
      <c r="B115" s="583"/>
      <c r="C115" s="583"/>
      <c r="D115" s="583"/>
      <c r="E115" s="583"/>
      <c r="F115" s="583"/>
      <c r="G115" s="583"/>
      <c r="H115" s="583"/>
      <c r="I115" s="583"/>
      <c r="J115" s="583"/>
      <c r="K115" s="583"/>
      <c r="L115" s="584"/>
    </row>
    <row r="116" spans="1:13" ht="36" thickBot="1">
      <c r="A116" s="203" t="s">
        <v>11</v>
      </c>
      <c r="B116" s="680"/>
      <c r="C116" s="680"/>
      <c r="D116" s="680"/>
      <c r="E116" s="680"/>
      <c r="F116" s="680"/>
      <c r="G116" s="680"/>
      <c r="H116" s="680"/>
      <c r="I116" s="680"/>
      <c r="J116" s="680"/>
      <c r="K116" s="680"/>
      <c r="L116" s="681"/>
    </row>
    <row r="117" spans="1:13" s="4" customFormat="1" ht="36" customHeight="1" thickTop="1">
      <c r="A117" s="646" t="s">
        <v>545</v>
      </c>
      <c r="B117" s="646"/>
      <c r="C117" s="646"/>
      <c r="D117" s="646"/>
      <c r="E117" s="646"/>
      <c r="F117" s="646"/>
      <c r="G117" s="646"/>
      <c r="H117" s="646"/>
      <c r="I117" s="646"/>
      <c r="J117" s="646"/>
      <c r="K117" s="646"/>
      <c r="L117" s="646"/>
    </row>
    <row r="118" spans="1:13" s="67" customFormat="1" ht="28.5" customHeight="1">
      <c r="A118" s="611" t="s">
        <v>0</v>
      </c>
      <c r="B118" s="611"/>
      <c r="C118" s="241">
        <f>'صفحه اصلی'!C7</f>
        <v>0</v>
      </c>
      <c r="D118" s="241"/>
      <c r="E118" s="241"/>
      <c r="F118" s="241"/>
      <c r="G118" s="241"/>
      <c r="H118" s="241"/>
      <c r="I118" s="241"/>
      <c r="J118" s="241"/>
      <c r="K118" s="241"/>
      <c r="L118" s="241"/>
    </row>
    <row r="119" spans="1:13" s="210" customFormat="1" ht="28.5" customHeight="1" thickBot="1">
      <c r="A119" s="612" t="s">
        <v>1</v>
      </c>
      <c r="B119" s="612"/>
      <c r="C119" s="359">
        <f>'صفحه اصلی'!C8</f>
        <v>0</v>
      </c>
      <c r="D119" s="356" t="s">
        <v>31</v>
      </c>
      <c r="E119" s="324"/>
      <c r="G119" s="356" t="s">
        <v>54</v>
      </c>
      <c r="H119" s="276">
        <f>'صفحه اصلی'!C9</f>
        <v>0</v>
      </c>
      <c r="I119" s="276"/>
      <c r="J119" s="276"/>
      <c r="K119" s="277"/>
      <c r="L119" s="277"/>
    </row>
    <row r="120" spans="1:13" ht="24" customHeight="1" thickTop="1">
      <c r="A120" s="674" t="s">
        <v>12</v>
      </c>
      <c r="B120" s="676" t="s">
        <v>16</v>
      </c>
      <c r="C120" s="676" t="s">
        <v>32</v>
      </c>
      <c r="D120" s="676" t="s">
        <v>33</v>
      </c>
      <c r="E120" s="676" t="s">
        <v>34</v>
      </c>
      <c r="F120" s="676" t="s">
        <v>35</v>
      </c>
      <c r="G120" s="676" t="s">
        <v>383</v>
      </c>
      <c r="H120" s="676" t="s">
        <v>2</v>
      </c>
      <c r="I120" s="676" t="s">
        <v>68</v>
      </c>
      <c r="J120" s="676" t="s">
        <v>69</v>
      </c>
      <c r="K120" s="676" t="s">
        <v>61</v>
      </c>
      <c r="L120" s="678" t="s">
        <v>3</v>
      </c>
    </row>
    <row r="121" spans="1:13" ht="24" customHeight="1" thickBot="1">
      <c r="A121" s="675"/>
      <c r="B121" s="677"/>
      <c r="C121" s="677"/>
      <c r="D121" s="677"/>
      <c r="E121" s="677"/>
      <c r="F121" s="677"/>
      <c r="G121" s="677"/>
      <c r="H121" s="677"/>
      <c r="I121" s="677"/>
      <c r="J121" s="677"/>
      <c r="K121" s="677"/>
      <c r="L121" s="679"/>
      <c r="M121" s="168"/>
    </row>
    <row r="122" spans="1:13" ht="27.75" customHeight="1">
      <c r="A122" s="271"/>
      <c r="B122" s="434"/>
      <c r="C122" s="278">
        <f>B122</f>
        <v>0</v>
      </c>
      <c r="D122" s="278">
        <f t="shared" ref="D122:D129" si="55">SUM(E122:J122)</f>
        <v>0</v>
      </c>
      <c r="E122" s="434"/>
      <c r="F122" s="434"/>
      <c r="G122" s="434"/>
      <c r="H122" s="434"/>
      <c r="I122" s="434"/>
      <c r="J122" s="434"/>
      <c r="K122" s="434"/>
      <c r="L122" s="434"/>
      <c r="M122" s="168"/>
    </row>
    <row r="123" spans="1:13" ht="27.75" customHeight="1">
      <c r="A123" s="271"/>
      <c r="B123" s="434"/>
      <c r="C123" s="278">
        <f>B123</f>
        <v>0</v>
      </c>
      <c r="D123" s="278">
        <f t="shared" si="55"/>
        <v>0</v>
      </c>
      <c r="E123" s="434"/>
      <c r="F123" s="434"/>
      <c r="G123" s="434"/>
      <c r="H123" s="434"/>
      <c r="I123" s="434"/>
      <c r="J123" s="434"/>
      <c r="K123" s="434"/>
      <c r="L123" s="434"/>
      <c r="M123" s="168"/>
    </row>
    <row r="124" spans="1:13" ht="27" customHeight="1">
      <c r="A124" s="271"/>
      <c r="B124" s="434"/>
      <c r="C124" s="278">
        <f t="shared" ref="C124:C129" si="56">B124</f>
        <v>0</v>
      </c>
      <c r="D124" s="278">
        <f t="shared" si="55"/>
        <v>0</v>
      </c>
      <c r="E124" s="434"/>
      <c r="F124" s="434"/>
      <c r="G124" s="434"/>
      <c r="H124" s="434"/>
      <c r="I124" s="434"/>
      <c r="J124" s="434"/>
      <c r="K124" s="434"/>
      <c r="L124" s="434"/>
      <c r="M124" s="168"/>
    </row>
    <row r="125" spans="1:13" ht="27" customHeight="1">
      <c r="A125" s="271"/>
      <c r="B125" s="434"/>
      <c r="C125" s="278">
        <f t="shared" si="56"/>
        <v>0</v>
      </c>
      <c r="D125" s="278">
        <f t="shared" si="55"/>
        <v>0</v>
      </c>
      <c r="E125" s="434"/>
      <c r="F125" s="434"/>
      <c r="G125" s="434"/>
      <c r="H125" s="434"/>
      <c r="I125" s="434"/>
      <c r="J125" s="434"/>
      <c r="K125" s="434"/>
      <c r="L125" s="434"/>
      <c r="M125" s="168"/>
    </row>
    <row r="126" spans="1:13" ht="27" customHeight="1">
      <c r="A126" s="271"/>
      <c r="B126" s="434"/>
      <c r="C126" s="278">
        <f t="shared" si="56"/>
        <v>0</v>
      </c>
      <c r="D126" s="278">
        <f t="shared" si="55"/>
        <v>0</v>
      </c>
      <c r="E126" s="434"/>
      <c r="F126" s="434"/>
      <c r="G126" s="434"/>
      <c r="H126" s="434"/>
      <c r="I126" s="434"/>
      <c r="J126" s="434"/>
      <c r="K126" s="434"/>
      <c r="L126" s="434"/>
      <c r="M126" s="168"/>
    </row>
    <row r="127" spans="1:13" ht="27" customHeight="1">
      <c r="A127" s="271"/>
      <c r="B127" s="434"/>
      <c r="C127" s="278">
        <f t="shared" si="56"/>
        <v>0</v>
      </c>
      <c r="D127" s="278">
        <f t="shared" si="55"/>
        <v>0</v>
      </c>
      <c r="E127" s="434"/>
      <c r="F127" s="434"/>
      <c r="G127" s="434"/>
      <c r="H127" s="434"/>
      <c r="I127" s="434"/>
      <c r="J127" s="434"/>
      <c r="K127" s="434"/>
      <c r="L127" s="434"/>
      <c r="M127" s="168"/>
    </row>
    <row r="128" spans="1:13" ht="27" customHeight="1">
      <c r="A128" s="271"/>
      <c r="B128" s="434"/>
      <c r="C128" s="278">
        <f t="shared" si="56"/>
        <v>0</v>
      </c>
      <c r="D128" s="278">
        <f t="shared" si="55"/>
        <v>0</v>
      </c>
      <c r="E128" s="434"/>
      <c r="F128" s="434"/>
      <c r="G128" s="434"/>
      <c r="H128" s="434"/>
      <c r="I128" s="434"/>
      <c r="J128" s="434"/>
      <c r="K128" s="434"/>
      <c r="L128" s="434"/>
      <c r="M128" s="168"/>
    </row>
    <row r="129" spans="1:13" ht="27" customHeight="1" thickBot="1">
      <c r="A129" s="271"/>
      <c r="B129" s="114"/>
      <c r="C129" s="245">
        <f t="shared" si="56"/>
        <v>0</v>
      </c>
      <c r="D129" s="279">
        <f t="shared" si="55"/>
        <v>0</v>
      </c>
      <c r="E129" s="435"/>
      <c r="F129" s="435"/>
      <c r="G129" s="435"/>
      <c r="H129" s="435"/>
      <c r="I129" s="435"/>
      <c r="J129" s="435"/>
      <c r="K129" s="435"/>
      <c r="L129" s="433"/>
      <c r="M129" s="168"/>
    </row>
    <row r="130" spans="1:13" ht="30" customHeight="1" thickBot="1">
      <c r="A130" s="280" t="s">
        <v>7</v>
      </c>
      <c r="B130" s="79">
        <f>SUM(B122:B129)</f>
        <v>0</v>
      </c>
      <c r="C130" s="73">
        <f>SUM(C122:C129)</f>
        <v>0</v>
      </c>
      <c r="D130" s="79">
        <f t="shared" ref="D130:L130" si="57">SUM(D122:D129)</f>
        <v>0</v>
      </c>
      <c r="E130" s="79">
        <f t="shared" si="57"/>
        <v>0</v>
      </c>
      <c r="F130" s="79">
        <f t="shared" si="57"/>
        <v>0</v>
      </c>
      <c r="G130" s="79">
        <f t="shared" si="57"/>
        <v>0</v>
      </c>
      <c r="H130" s="79">
        <f t="shared" si="57"/>
        <v>0</v>
      </c>
      <c r="I130" s="79">
        <f t="shared" si="57"/>
        <v>0</v>
      </c>
      <c r="J130" s="79">
        <f t="shared" si="57"/>
        <v>0</v>
      </c>
      <c r="K130" s="79">
        <f t="shared" si="57"/>
        <v>0</v>
      </c>
      <c r="L130" s="238">
        <f t="shared" si="57"/>
        <v>0</v>
      </c>
      <c r="M130" s="168"/>
    </row>
    <row r="131" spans="1:13" s="200" customFormat="1" ht="38.25" customHeight="1" thickTop="1">
      <c r="A131" s="589" t="s">
        <v>21</v>
      </c>
      <c r="B131" s="589"/>
      <c r="C131" s="240">
        <f>'صفحه اصلی'!C10</f>
        <v>0</v>
      </c>
      <c r="D131" s="589" t="s">
        <v>8</v>
      </c>
      <c r="E131" s="589"/>
      <c r="F131" s="239">
        <f>'صفحه اصلی'!C11</f>
        <v>0</v>
      </c>
      <c r="G131" s="197"/>
      <c r="H131" s="348" t="s">
        <v>9</v>
      </c>
      <c r="I131" s="673">
        <f>'صفحه اصلی'!C12</f>
        <v>0</v>
      </c>
      <c r="J131" s="673"/>
      <c r="K131" s="360" t="s">
        <v>10</v>
      </c>
      <c r="L131" s="352">
        <f>'صفحه اصلی'!C13</f>
        <v>0</v>
      </c>
    </row>
    <row r="132" spans="1:13" ht="26.25" customHeight="1" thickBot="1">
      <c r="A132" s="587" t="s">
        <v>19</v>
      </c>
      <c r="B132" s="587"/>
      <c r="C132" s="587"/>
      <c r="D132" s="587"/>
      <c r="E132" s="587"/>
      <c r="F132" s="587"/>
      <c r="G132" s="587"/>
      <c r="H132" s="587"/>
      <c r="I132" s="587"/>
      <c r="J132" s="587"/>
      <c r="K132" s="587"/>
      <c r="L132" s="266" t="s">
        <v>37</v>
      </c>
    </row>
    <row r="133" spans="1:13" ht="36.75" thickTop="1" thickBot="1">
      <c r="A133" s="582" t="s">
        <v>402</v>
      </c>
      <c r="B133" s="583"/>
      <c r="C133" s="583"/>
      <c r="D133" s="583"/>
      <c r="E133" s="583"/>
      <c r="F133" s="583"/>
      <c r="G133" s="583"/>
      <c r="H133" s="583"/>
      <c r="I133" s="583"/>
      <c r="J133" s="583"/>
      <c r="K133" s="583"/>
      <c r="L133" s="584"/>
    </row>
    <row r="134" spans="1:13" ht="36" thickBot="1">
      <c r="A134" s="203" t="s">
        <v>11</v>
      </c>
      <c r="B134" s="682"/>
      <c r="C134" s="682"/>
      <c r="D134" s="682"/>
      <c r="E134" s="682"/>
      <c r="F134" s="682"/>
      <c r="G134" s="682"/>
      <c r="H134" s="682"/>
      <c r="I134" s="682"/>
      <c r="J134" s="682"/>
      <c r="K134" s="682"/>
      <c r="L134" s="683"/>
    </row>
    <row r="135" spans="1:13" s="4" customFormat="1" ht="36" customHeight="1" thickTop="1">
      <c r="A135" s="646" t="s">
        <v>30</v>
      </c>
      <c r="B135" s="646"/>
      <c r="C135" s="646"/>
      <c r="D135" s="646"/>
      <c r="E135" s="646"/>
      <c r="F135" s="646"/>
      <c r="G135" s="646"/>
      <c r="H135" s="646"/>
      <c r="I135" s="646"/>
      <c r="J135" s="646"/>
      <c r="K135" s="646"/>
      <c r="L135" s="646"/>
    </row>
    <row r="136" spans="1:13" s="67" customFormat="1" ht="28.5" customHeight="1">
      <c r="A136" s="611" t="s">
        <v>0</v>
      </c>
      <c r="B136" s="611"/>
      <c r="C136" s="241">
        <f>'صفحه اصلی'!C7</f>
        <v>0</v>
      </c>
      <c r="D136" s="241"/>
      <c r="E136" s="241"/>
      <c r="F136" s="241"/>
      <c r="G136" s="241"/>
      <c r="H136" s="241"/>
      <c r="I136" s="241"/>
      <c r="J136" s="241"/>
      <c r="K136" s="241"/>
      <c r="L136" s="241"/>
    </row>
    <row r="137" spans="1:13" s="210" customFormat="1" ht="28.5" customHeight="1" thickBot="1">
      <c r="A137" s="612" t="s">
        <v>1</v>
      </c>
      <c r="B137" s="612"/>
      <c r="C137" s="359">
        <f>'صفحه اصلی'!C8</f>
        <v>0</v>
      </c>
      <c r="D137" s="356" t="s">
        <v>31</v>
      </c>
      <c r="E137" s="324"/>
      <c r="G137" s="356" t="s">
        <v>54</v>
      </c>
      <c r="H137" s="276">
        <f>'صفحه اصلی'!C9</f>
        <v>0</v>
      </c>
      <c r="I137" s="276"/>
      <c r="J137" s="276"/>
      <c r="K137" s="277"/>
      <c r="L137" s="277"/>
    </row>
    <row r="138" spans="1:13" ht="24" customHeight="1" thickTop="1">
      <c r="A138" s="674" t="s">
        <v>12</v>
      </c>
      <c r="B138" s="676" t="s">
        <v>16</v>
      </c>
      <c r="C138" s="676" t="s">
        <v>32</v>
      </c>
      <c r="D138" s="676" t="s">
        <v>33</v>
      </c>
      <c r="E138" s="676" t="s">
        <v>34</v>
      </c>
      <c r="F138" s="676" t="s">
        <v>35</v>
      </c>
      <c r="G138" s="676" t="s">
        <v>383</v>
      </c>
      <c r="H138" s="676" t="s">
        <v>2</v>
      </c>
      <c r="I138" s="676" t="s">
        <v>68</v>
      </c>
      <c r="J138" s="676" t="s">
        <v>69</v>
      </c>
      <c r="K138" s="676" t="s">
        <v>61</v>
      </c>
      <c r="L138" s="678" t="s">
        <v>3</v>
      </c>
    </row>
    <row r="139" spans="1:13" ht="24" customHeight="1" thickBot="1">
      <c r="A139" s="675"/>
      <c r="B139" s="677"/>
      <c r="C139" s="677"/>
      <c r="D139" s="677"/>
      <c r="E139" s="677"/>
      <c r="F139" s="677"/>
      <c r="G139" s="677"/>
      <c r="H139" s="677"/>
      <c r="I139" s="677"/>
      <c r="J139" s="677"/>
      <c r="K139" s="677"/>
      <c r="L139" s="679"/>
    </row>
    <row r="140" spans="1:13" ht="27.75" customHeight="1">
      <c r="A140" s="271"/>
      <c r="B140" s="434"/>
      <c r="C140" s="278">
        <f>B140</f>
        <v>0</v>
      </c>
      <c r="D140" s="278">
        <f t="shared" ref="D140:D147" si="58">SUM(E140:J140)</f>
        <v>0</v>
      </c>
      <c r="E140" s="434"/>
      <c r="F140" s="434"/>
      <c r="G140" s="434"/>
      <c r="H140" s="434"/>
      <c r="I140" s="434"/>
      <c r="J140" s="434"/>
      <c r="K140" s="434"/>
      <c r="L140" s="434"/>
    </row>
    <row r="141" spans="1:13" ht="27" customHeight="1">
      <c r="A141" s="271"/>
      <c r="B141" s="434"/>
      <c r="C141" s="278">
        <f t="shared" ref="C141:C147" si="59">B141</f>
        <v>0</v>
      </c>
      <c r="D141" s="278">
        <f t="shared" si="58"/>
        <v>0</v>
      </c>
      <c r="E141" s="434"/>
      <c r="F141" s="434"/>
      <c r="G141" s="434"/>
      <c r="H141" s="434"/>
      <c r="I141" s="434"/>
      <c r="J141" s="434"/>
      <c r="K141" s="434"/>
      <c r="L141" s="434"/>
    </row>
    <row r="142" spans="1:13" ht="27" customHeight="1">
      <c r="A142" s="271"/>
      <c r="B142" s="434"/>
      <c r="C142" s="278">
        <f t="shared" si="59"/>
        <v>0</v>
      </c>
      <c r="D142" s="278">
        <f t="shared" si="58"/>
        <v>0</v>
      </c>
      <c r="E142" s="434"/>
      <c r="F142" s="434"/>
      <c r="G142" s="434"/>
      <c r="H142" s="434"/>
      <c r="I142" s="434"/>
      <c r="J142" s="434"/>
      <c r="K142" s="434"/>
      <c r="L142" s="434"/>
    </row>
    <row r="143" spans="1:13" ht="27" customHeight="1">
      <c r="A143" s="271"/>
      <c r="B143" s="434"/>
      <c r="C143" s="278">
        <f t="shared" si="59"/>
        <v>0</v>
      </c>
      <c r="D143" s="278">
        <f t="shared" si="58"/>
        <v>0</v>
      </c>
      <c r="E143" s="434"/>
      <c r="F143" s="434"/>
      <c r="G143" s="434"/>
      <c r="H143" s="434"/>
      <c r="I143" s="434"/>
      <c r="J143" s="434"/>
      <c r="K143" s="434"/>
      <c r="L143" s="434"/>
    </row>
    <row r="144" spans="1:13" ht="27" customHeight="1">
      <c r="A144" s="271"/>
      <c r="B144" s="434"/>
      <c r="C144" s="278">
        <f t="shared" si="59"/>
        <v>0</v>
      </c>
      <c r="D144" s="278">
        <f t="shared" si="58"/>
        <v>0</v>
      </c>
      <c r="E144" s="434"/>
      <c r="F144" s="434"/>
      <c r="G144" s="434"/>
      <c r="H144" s="434"/>
      <c r="I144" s="434"/>
      <c r="J144" s="434"/>
      <c r="K144" s="434"/>
      <c r="L144" s="434"/>
    </row>
    <row r="145" spans="1:13" ht="27" customHeight="1">
      <c r="A145" s="271"/>
      <c r="B145" s="434"/>
      <c r="C145" s="278">
        <f t="shared" si="59"/>
        <v>0</v>
      </c>
      <c r="D145" s="278">
        <f t="shared" si="58"/>
        <v>0</v>
      </c>
      <c r="E145" s="434"/>
      <c r="F145" s="434"/>
      <c r="G145" s="434"/>
      <c r="H145" s="434"/>
      <c r="I145" s="434"/>
      <c r="J145" s="434"/>
      <c r="K145" s="434"/>
      <c r="L145" s="434"/>
    </row>
    <row r="146" spans="1:13" ht="27" customHeight="1">
      <c r="A146" s="271"/>
      <c r="B146" s="434"/>
      <c r="C146" s="278">
        <f t="shared" si="59"/>
        <v>0</v>
      </c>
      <c r="D146" s="278">
        <f t="shared" si="58"/>
        <v>0</v>
      </c>
      <c r="E146" s="434"/>
      <c r="F146" s="434"/>
      <c r="G146" s="434"/>
      <c r="H146" s="434"/>
      <c r="I146" s="434"/>
      <c r="J146" s="434"/>
      <c r="K146" s="434"/>
      <c r="L146" s="434"/>
    </row>
    <row r="147" spans="1:13" ht="27" customHeight="1" thickBot="1">
      <c r="A147" s="271"/>
      <c r="B147" s="114"/>
      <c r="C147" s="245">
        <f t="shared" si="59"/>
        <v>0</v>
      </c>
      <c r="D147" s="279">
        <f t="shared" si="58"/>
        <v>0</v>
      </c>
      <c r="E147" s="435"/>
      <c r="F147" s="435"/>
      <c r="G147" s="435"/>
      <c r="H147" s="435"/>
      <c r="I147" s="435"/>
      <c r="J147" s="435"/>
      <c r="K147" s="435"/>
      <c r="L147" s="435"/>
    </row>
    <row r="148" spans="1:13" ht="30" customHeight="1" thickBot="1">
      <c r="A148" s="280" t="s">
        <v>7</v>
      </c>
      <c r="B148" s="79">
        <f>SUM(B140:B147)</f>
        <v>0</v>
      </c>
      <c r="C148" s="73">
        <f>SUM(C140:C147)</f>
        <v>0</v>
      </c>
      <c r="D148" s="79">
        <f t="shared" ref="D148:L148" si="60">SUM(D140:D147)</f>
        <v>0</v>
      </c>
      <c r="E148" s="79">
        <f t="shared" si="60"/>
        <v>0</v>
      </c>
      <c r="F148" s="79">
        <f t="shared" si="60"/>
        <v>0</v>
      </c>
      <c r="G148" s="79">
        <f t="shared" si="60"/>
        <v>0</v>
      </c>
      <c r="H148" s="79">
        <f t="shared" si="60"/>
        <v>0</v>
      </c>
      <c r="I148" s="79">
        <f t="shared" si="60"/>
        <v>0</v>
      </c>
      <c r="J148" s="79">
        <f t="shared" si="60"/>
        <v>0</v>
      </c>
      <c r="K148" s="79">
        <f t="shared" si="60"/>
        <v>0</v>
      </c>
      <c r="L148" s="238">
        <f t="shared" si="60"/>
        <v>0</v>
      </c>
      <c r="M148" s="168"/>
    </row>
    <row r="149" spans="1:13" s="200" customFormat="1" ht="38.25" customHeight="1" thickTop="1">
      <c r="A149" s="589" t="s">
        <v>21</v>
      </c>
      <c r="B149" s="589"/>
      <c r="C149" s="240">
        <f>'صفحه اصلی'!C10</f>
        <v>0</v>
      </c>
      <c r="D149" s="589" t="s">
        <v>8</v>
      </c>
      <c r="E149" s="589"/>
      <c r="F149" s="240">
        <f>'صفحه اصلی'!C11</f>
        <v>0</v>
      </c>
      <c r="G149" s="197"/>
      <c r="H149" s="348" t="s">
        <v>9</v>
      </c>
      <c r="I149" s="673">
        <f>'صفحه اصلی'!C12</f>
        <v>0</v>
      </c>
      <c r="J149" s="673"/>
      <c r="K149" s="360" t="s">
        <v>10</v>
      </c>
      <c r="L149" s="352">
        <f>'صفحه اصلی'!C13</f>
        <v>0</v>
      </c>
    </row>
    <row r="150" spans="1:13" ht="26.25" customHeight="1" thickBot="1">
      <c r="A150" s="587" t="s">
        <v>19</v>
      </c>
      <c r="B150" s="587"/>
      <c r="C150" s="587"/>
      <c r="D150" s="587"/>
      <c r="E150" s="587"/>
      <c r="F150" s="587"/>
      <c r="G150" s="587"/>
      <c r="H150" s="587"/>
      <c r="I150" s="587"/>
      <c r="J150" s="587"/>
      <c r="K150" s="587"/>
      <c r="L150" s="266" t="s">
        <v>37</v>
      </c>
    </row>
    <row r="151" spans="1:13" ht="36.75" thickTop="1" thickBot="1">
      <c r="A151" s="582" t="s">
        <v>402</v>
      </c>
      <c r="B151" s="583"/>
      <c r="C151" s="583"/>
      <c r="D151" s="583"/>
      <c r="E151" s="583"/>
      <c r="F151" s="583"/>
      <c r="G151" s="583"/>
      <c r="H151" s="583"/>
      <c r="I151" s="583"/>
      <c r="J151" s="583"/>
      <c r="K151" s="583"/>
      <c r="L151" s="584"/>
    </row>
    <row r="152" spans="1:13" ht="36" thickBot="1">
      <c r="A152" s="203" t="s">
        <v>11</v>
      </c>
      <c r="B152" s="680"/>
      <c r="C152" s="680"/>
      <c r="D152" s="680"/>
      <c r="E152" s="680"/>
      <c r="F152" s="680"/>
      <c r="G152" s="680"/>
      <c r="H152" s="680"/>
      <c r="I152" s="680"/>
      <c r="J152" s="680"/>
      <c r="K152" s="680"/>
      <c r="L152" s="681"/>
    </row>
    <row r="153" spans="1:13" s="4" customFormat="1" ht="36" customHeight="1" thickTop="1">
      <c r="A153" s="646" t="s">
        <v>30</v>
      </c>
      <c r="B153" s="646"/>
      <c r="C153" s="646"/>
      <c r="D153" s="646"/>
      <c r="E153" s="646"/>
      <c r="F153" s="646"/>
      <c r="G153" s="646"/>
      <c r="H153" s="646"/>
      <c r="I153" s="646"/>
      <c r="J153" s="646"/>
      <c r="K153" s="646"/>
      <c r="L153" s="646"/>
    </row>
    <row r="154" spans="1:13" s="67" customFormat="1" ht="28.5" customHeight="1">
      <c r="A154" s="611" t="s">
        <v>0</v>
      </c>
      <c r="B154" s="611"/>
      <c r="C154" s="241">
        <f>'صفحه اصلی'!C7</f>
        <v>0</v>
      </c>
      <c r="D154" s="241"/>
      <c r="E154" s="241"/>
      <c r="F154" s="241"/>
      <c r="G154" s="241"/>
      <c r="H154" s="241"/>
      <c r="I154" s="241"/>
      <c r="J154" s="241"/>
      <c r="K154" s="241"/>
      <c r="L154" s="241"/>
    </row>
    <row r="155" spans="1:13" s="210" customFormat="1" ht="28.5" customHeight="1" thickBot="1">
      <c r="A155" s="612" t="s">
        <v>1</v>
      </c>
      <c r="B155" s="612"/>
      <c r="C155" s="359">
        <f>'صفحه اصلی'!C8</f>
        <v>0</v>
      </c>
      <c r="D155" s="356" t="s">
        <v>31</v>
      </c>
      <c r="E155" s="324"/>
      <c r="G155" s="356" t="s">
        <v>54</v>
      </c>
      <c r="H155" s="276">
        <f>'صفحه اصلی'!C9</f>
        <v>0</v>
      </c>
      <c r="I155" s="276"/>
      <c r="J155" s="276"/>
      <c r="K155" s="277"/>
      <c r="L155" s="277"/>
    </row>
    <row r="156" spans="1:13" ht="24" customHeight="1" thickTop="1">
      <c r="A156" s="674" t="s">
        <v>12</v>
      </c>
      <c r="B156" s="676" t="s">
        <v>16</v>
      </c>
      <c r="C156" s="676" t="s">
        <v>32</v>
      </c>
      <c r="D156" s="676" t="s">
        <v>33</v>
      </c>
      <c r="E156" s="676" t="s">
        <v>34</v>
      </c>
      <c r="F156" s="676" t="s">
        <v>35</v>
      </c>
      <c r="G156" s="676" t="s">
        <v>383</v>
      </c>
      <c r="H156" s="676" t="s">
        <v>2</v>
      </c>
      <c r="I156" s="676" t="s">
        <v>68</v>
      </c>
      <c r="J156" s="676" t="s">
        <v>69</v>
      </c>
      <c r="K156" s="676" t="s">
        <v>61</v>
      </c>
      <c r="L156" s="678" t="s">
        <v>3</v>
      </c>
    </row>
    <row r="157" spans="1:13" ht="24" customHeight="1" thickBot="1">
      <c r="A157" s="675"/>
      <c r="B157" s="677"/>
      <c r="C157" s="677"/>
      <c r="D157" s="677"/>
      <c r="E157" s="677"/>
      <c r="F157" s="677"/>
      <c r="G157" s="677"/>
      <c r="H157" s="677"/>
      <c r="I157" s="677"/>
      <c r="J157" s="677"/>
      <c r="K157" s="677"/>
      <c r="L157" s="679"/>
      <c r="M157" s="168"/>
    </row>
    <row r="158" spans="1:13" ht="27.75" customHeight="1">
      <c r="A158" s="271"/>
      <c r="B158" s="434"/>
      <c r="C158" s="278">
        <f>B158</f>
        <v>0</v>
      </c>
      <c r="D158" s="278">
        <f t="shared" ref="D158:D165" si="61">SUM(E158:J158)</f>
        <v>0</v>
      </c>
      <c r="E158" s="434"/>
      <c r="F158" s="434"/>
      <c r="G158" s="434"/>
      <c r="H158" s="434"/>
      <c r="I158" s="434"/>
      <c r="J158" s="434"/>
      <c r="K158" s="434"/>
      <c r="L158" s="434"/>
      <c r="M158" s="168"/>
    </row>
    <row r="159" spans="1:13" ht="27" customHeight="1">
      <c r="A159" s="271"/>
      <c r="B159" s="434"/>
      <c r="C159" s="278">
        <f t="shared" ref="C159:C165" si="62">B159</f>
        <v>0</v>
      </c>
      <c r="D159" s="278">
        <f t="shared" si="61"/>
        <v>0</v>
      </c>
      <c r="E159" s="434"/>
      <c r="F159" s="434"/>
      <c r="G159" s="434"/>
      <c r="H159" s="434"/>
      <c r="I159" s="434"/>
      <c r="J159" s="434"/>
      <c r="K159" s="434"/>
      <c r="L159" s="434"/>
      <c r="M159" s="168"/>
    </row>
    <row r="160" spans="1:13" ht="27" customHeight="1">
      <c r="A160" s="271"/>
      <c r="B160" s="434"/>
      <c r="C160" s="278">
        <f t="shared" si="62"/>
        <v>0</v>
      </c>
      <c r="D160" s="278">
        <f t="shared" si="61"/>
        <v>0</v>
      </c>
      <c r="E160" s="434"/>
      <c r="F160" s="434"/>
      <c r="G160" s="434"/>
      <c r="H160" s="434"/>
      <c r="I160" s="434"/>
      <c r="J160" s="434"/>
      <c r="K160" s="434"/>
      <c r="L160" s="434"/>
      <c r="M160" s="168"/>
    </row>
    <row r="161" spans="1:13" ht="27" customHeight="1">
      <c r="A161" s="271"/>
      <c r="B161" s="434"/>
      <c r="C161" s="278">
        <f t="shared" si="62"/>
        <v>0</v>
      </c>
      <c r="D161" s="278">
        <f t="shared" si="61"/>
        <v>0</v>
      </c>
      <c r="E161" s="434"/>
      <c r="F161" s="434"/>
      <c r="G161" s="434"/>
      <c r="H161" s="434"/>
      <c r="I161" s="434"/>
      <c r="J161" s="434"/>
      <c r="K161" s="434"/>
      <c r="L161" s="434"/>
      <c r="M161" s="168"/>
    </row>
    <row r="162" spans="1:13" ht="27" customHeight="1">
      <c r="A162" s="271"/>
      <c r="B162" s="434"/>
      <c r="C162" s="278">
        <f t="shared" si="62"/>
        <v>0</v>
      </c>
      <c r="D162" s="278">
        <f t="shared" si="61"/>
        <v>0</v>
      </c>
      <c r="E162" s="434"/>
      <c r="F162" s="434"/>
      <c r="G162" s="434"/>
      <c r="H162" s="434"/>
      <c r="I162" s="434"/>
      <c r="J162" s="434"/>
      <c r="K162" s="434"/>
      <c r="L162" s="434"/>
      <c r="M162" s="168"/>
    </row>
    <row r="163" spans="1:13" ht="27" customHeight="1">
      <c r="A163" s="271"/>
      <c r="B163" s="434"/>
      <c r="C163" s="278">
        <f t="shared" si="62"/>
        <v>0</v>
      </c>
      <c r="D163" s="278">
        <f t="shared" si="61"/>
        <v>0</v>
      </c>
      <c r="E163" s="434"/>
      <c r="F163" s="434"/>
      <c r="G163" s="434"/>
      <c r="H163" s="434"/>
      <c r="I163" s="434"/>
      <c r="J163" s="434"/>
      <c r="K163" s="434"/>
      <c r="L163" s="434"/>
      <c r="M163" s="168"/>
    </row>
    <row r="164" spans="1:13" ht="27" customHeight="1">
      <c r="A164" s="271"/>
      <c r="B164" s="434"/>
      <c r="C164" s="278">
        <f t="shared" si="62"/>
        <v>0</v>
      </c>
      <c r="D164" s="278">
        <f t="shared" si="61"/>
        <v>0</v>
      </c>
      <c r="E164" s="434"/>
      <c r="F164" s="434"/>
      <c r="G164" s="434"/>
      <c r="H164" s="434"/>
      <c r="I164" s="434"/>
      <c r="J164" s="434"/>
      <c r="K164" s="434"/>
      <c r="L164" s="434"/>
      <c r="M164" s="168"/>
    </row>
    <row r="165" spans="1:13" ht="27" customHeight="1" thickBot="1">
      <c r="A165" s="271"/>
      <c r="B165" s="114"/>
      <c r="C165" s="245">
        <f t="shared" si="62"/>
        <v>0</v>
      </c>
      <c r="D165" s="279">
        <f t="shared" si="61"/>
        <v>0</v>
      </c>
      <c r="E165" s="435"/>
      <c r="F165" s="435"/>
      <c r="G165" s="435"/>
      <c r="H165" s="435"/>
      <c r="I165" s="435"/>
      <c r="J165" s="435"/>
      <c r="K165" s="435"/>
      <c r="L165" s="433"/>
      <c r="M165" s="168"/>
    </row>
    <row r="166" spans="1:13" ht="30" customHeight="1" thickBot="1">
      <c r="A166" s="280" t="s">
        <v>7</v>
      </c>
      <c r="B166" s="79">
        <f>SUM(B158:B165)</f>
        <v>0</v>
      </c>
      <c r="C166" s="73">
        <f>SUM(C158:C165)</f>
        <v>0</v>
      </c>
      <c r="D166" s="79">
        <f t="shared" ref="D166:L166" si="63">SUM(D158:D165)</f>
        <v>0</v>
      </c>
      <c r="E166" s="79">
        <f t="shared" si="63"/>
        <v>0</v>
      </c>
      <c r="F166" s="79">
        <f t="shared" si="63"/>
        <v>0</v>
      </c>
      <c r="G166" s="79">
        <f t="shared" si="63"/>
        <v>0</v>
      </c>
      <c r="H166" s="79">
        <f t="shared" si="63"/>
        <v>0</v>
      </c>
      <c r="I166" s="79">
        <f t="shared" si="63"/>
        <v>0</v>
      </c>
      <c r="J166" s="79">
        <f t="shared" si="63"/>
        <v>0</v>
      </c>
      <c r="K166" s="79">
        <f t="shared" si="63"/>
        <v>0</v>
      </c>
      <c r="L166" s="238">
        <f t="shared" si="63"/>
        <v>0</v>
      </c>
      <c r="M166" s="168"/>
    </row>
    <row r="167" spans="1:13" s="200" customFormat="1" ht="38.25" customHeight="1" thickTop="1">
      <c r="A167" s="589" t="s">
        <v>21</v>
      </c>
      <c r="B167" s="589"/>
      <c r="C167" s="240">
        <f>'صفحه اصلی'!C10</f>
        <v>0</v>
      </c>
      <c r="D167" s="589" t="s">
        <v>8</v>
      </c>
      <c r="E167" s="589"/>
      <c r="F167" s="240">
        <f>'صفحه اصلی'!C11</f>
        <v>0</v>
      </c>
      <c r="G167" s="197"/>
      <c r="H167" s="348" t="s">
        <v>9</v>
      </c>
      <c r="I167" s="673">
        <f>'صفحه اصلی'!C12</f>
        <v>0</v>
      </c>
      <c r="J167" s="673"/>
      <c r="K167" s="360" t="s">
        <v>10</v>
      </c>
      <c r="L167" s="352">
        <f>'صفحه اصلی'!C13</f>
        <v>0</v>
      </c>
    </row>
    <row r="168" spans="1:13" ht="26.25" customHeight="1" thickBot="1">
      <c r="A168" s="587" t="s">
        <v>19</v>
      </c>
      <c r="B168" s="587"/>
      <c r="C168" s="587"/>
      <c r="D168" s="587"/>
      <c r="E168" s="587"/>
      <c r="F168" s="587"/>
      <c r="G168" s="587"/>
      <c r="H168" s="587"/>
      <c r="I168" s="587"/>
      <c r="J168" s="587"/>
      <c r="K168" s="587"/>
      <c r="L168" s="266" t="s">
        <v>37</v>
      </c>
    </row>
    <row r="169" spans="1:13" ht="36.75" thickTop="1" thickBot="1">
      <c r="A169" s="582" t="s">
        <v>402</v>
      </c>
      <c r="B169" s="583"/>
      <c r="C169" s="583"/>
      <c r="D169" s="583"/>
      <c r="E169" s="583"/>
      <c r="F169" s="583"/>
      <c r="G169" s="583"/>
      <c r="H169" s="583"/>
      <c r="I169" s="583"/>
      <c r="J169" s="583"/>
      <c r="K169" s="583"/>
      <c r="L169" s="584"/>
    </row>
    <row r="170" spans="1:13" ht="36" thickBot="1">
      <c r="A170" s="203" t="s">
        <v>11</v>
      </c>
      <c r="B170" s="680"/>
      <c r="C170" s="680"/>
      <c r="D170" s="680"/>
      <c r="E170" s="680"/>
      <c r="F170" s="680"/>
      <c r="G170" s="680"/>
      <c r="H170" s="680"/>
      <c r="I170" s="680"/>
      <c r="J170" s="680"/>
      <c r="K170" s="680"/>
      <c r="L170" s="681"/>
    </row>
    <row r="171" spans="1:13" s="4" customFormat="1" ht="36" customHeight="1" thickTop="1">
      <c r="A171" s="646" t="s">
        <v>30</v>
      </c>
      <c r="B171" s="646"/>
      <c r="C171" s="646"/>
      <c r="D171" s="646"/>
      <c r="E171" s="646"/>
      <c r="F171" s="646"/>
      <c r="G171" s="646"/>
      <c r="H171" s="646"/>
      <c r="I171" s="646"/>
      <c r="J171" s="646"/>
      <c r="K171" s="646"/>
      <c r="L171" s="646"/>
    </row>
    <row r="172" spans="1:13" s="67" customFormat="1" ht="28.5" customHeight="1">
      <c r="A172" s="611" t="s">
        <v>0</v>
      </c>
      <c r="B172" s="611"/>
      <c r="C172" s="241">
        <f>'صفحه اصلی'!C7</f>
        <v>0</v>
      </c>
      <c r="D172" s="241"/>
      <c r="E172" s="241"/>
      <c r="F172" s="241"/>
      <c r="G172" s="241"/>
      <c r="H172" s="241"/>
      <c r="I172" s="241"/>
      <c r="J172" s="241"/>
      <c r="K172" s="241"/>
      <c r="L172" s="241"/>
    </row>
    <row r="173" spans="1:13" s="210" customFormat="1" ht="28.5" customHeight="1" thickBot="1">
      <c r="A173" s="612" t="s">
        <v>1</v>
      </c>
      <c r="B173" s="612"/>
      <c r="C173" s="359">
        <f>'صفحه اصلی'!C8</f>
        <v>0</v>
      </c>
      <c r="D173" s="356" t="s">
        <v>31</v>
      </c>
      <c r="E173" s="324"/>
      <c r="G173" s="356" t="s">
        <v>54</v>
      </c>
      <c r="H173" s="276">
        <f>'صفحه اصلی'!C9</f>
        <v>0</v>
      </c>
      <c r="I173" s="276"/>
      <c r="J173" s="276"/>
      <c r="K173" s="277"/>
      <c r="L173" s="277"/>
    </row>
    <row r="174" spans="1:13" ht="24" customHeight="1" thickTop="1">
      <c r="A174" s="674" t="s">
        <v>12</v>
      </c>
      <c r="B174" s="676" t="s">
        <v>16</v>
      </c>
      <c r="C174" s="676" t="s">
        <v>32</v>
      </c>
      <c r="D174" s="676" t="s">
        <v>33</v>
      </c>
      <c r="E174" s="676" t="s">
        <v>34</v>
      </c>
      <c r="F174" s="676" t="s">
        <v>35</v>
      </c>
      <c r="G174" s="676" t="s">
        <v>383</v>
      </c>
      <c r="H174" s="676" t="s">
        <v>2</v>
      </c>
      <c r="I174" s="676" t="s">
        <v>68</v>
      </c>
      <c r="J174" s="676" t="s">
        <v>69</v>
      </c>
      <c r="K174" s="676" t="s">
        <v>61</v>
      </c>
      <c r="L174" s="678" t="s">
        <v>3</v>
      </c>
    </row>
    <row r="175" spans="1:13" ht="24" customHeight="1" thickBot="1">
      <c r="A175" s="675"/>
      <c r="B175" s="677"/>
      <c r="C175" s="677"/>
      <c r="D175" s="677"/>
      <c r="E175" s="677"/>
      <c r="F175" s="677"/>
      <c r="G175" s="677"/>
      <c r="H175" s="677"/>
      <c r="I175" s="677"/>
      <c r="J175" s="677"/>
      <c r="K175" s="677"/>
      <c r="L175" s="679"/>
      <c r="M175" s="168"/>
    </row>
    <row r="176" spans="1:13" ht="27.75" customHeight="1">
      <c r="A176" s="271"/>
      <c r="B176" s="434"/>
      <c r="C176" s="243">
        <f>B176</f>
        <v>0</v>
      </c>
      <c r="D176" s="243">
        <f t="shared" ref="D176:D183" si="64">SUM(E176:J176)</f>
        <v>0</v>
      </c>
      <c r="E176" s="434"/>
      <c r="F176" s="434"/>
      <c r="G176" s="434"/>
      <c r="H176" s="434"/>
      <c r="I176" s="434"/>
      <c r="J176" s="434"/>
      <c r="K176" s="434"/>
      <c r="L176" s="434"/>
      <c r="M176" s="168"/>
    </row>
    <row r="177" spans="1:13" ht="27" customHeight="1">
      <c r="A177" s="271"/>
      <c r="B177" s="434"/>
      <c r="C177" s="243">
        <f t="shared" ref="C177:C183" si="65">B177</f>
        <v>0</v>
      </c>
      <c r="D177" s="243">
        <f t="shared" si="64"/>
        <v>0</v>
      </c>
      <c r="E177" s="434"/>
      <c r="F177" s="434"/>
      <c r="G177" s="434"/>
      <c r="H177" s="434"/>
      <c r="I177" s="434"/>
      <c r="J177" s="434"/>
      <c r="K177" s="434"/>
      <c r="L177" s="434"/>
      <c r="M177" s="168"/>
    </row>
    <row r="178" spans="1:13" ht="27" customHeight="1">
      <c r="A178" s="271"/>
      <c r="B178" s="434"/>
      <c r="C178" s="243">
        <f t="shared" si="65"/>
        <v>0</v>
      </c>
      <c r="D178" s="243">
        <f t="shared" si="64"/>
        <v>0</v>
      </c>
      <c r="E178" s="434"/>
      <c r="F178" s="434"/>
      <c r="G178" s="434"/>
      <c r="H178" s="434"/>
      <c r="I178" s="434"/>
      <c r="J178" s="434"/>
      <c r="K178" s="434"/>
      <c r="L178" s="434"/>
      <c r="M178" s="168"/>
    </row>
    <row r="179" spans="1:13" ht="27" customHeight="1">
      <c r="A179" s="271"/>
      <c r="B179" s="434"/>
      <c r="C179" s="243">
        <f t="shared" si="65"/>
        <v>0</v>
      </c>
      <c r="D179" s="243">
        <f t="shared" si="64"/>
        <v>0</v>
      </c>
      <c r="E179" s="434"/>
      <c r="F179" s="434"/>
      <c r="G179" s="434"/>
      <c r="H179" s="434"/>
      <c r="I179" s="434"/>
      <c r="J179" s="434"/>
      <c r="K179" s="434"/>
      <c r="L179" s="434"/>
      <c r="M179" s="168"/>
    </row>
    <row r="180" spans="1:13" ht="27" customHeight="1">
      <c r="A180" s="271"/>
      <c r="B180" s="434"/>
      <c r="C180" s="243">
        <f t="shared" si="65"/>
        <v>0</v>
      </c>
      <c r="D180" s="243">
        <f t="shared" si="64"/>
        <v>0</v>
      </c>
      <c r="E180" s="434"/>
      <c r="F180" s="434"/>
      <c r="G180" s="434"/>
      <c r="H180" s="434"/>
      <c r="I180" s="434"/>
      <c r="J180" s="434"/>
      <c r="K180" s="434"/>
      <c r="L180" s="434"/>
      <c r="M180" s="168"/>
    </row>
    <row r="181" spans="1:13" ht="27" customHeight="1">
      <c r="A181" s="271"/>
      <c r="B181" s="434"/>
      <c r="C181" s="243">
        <f t="shared" si="65"/>
        <v>0</v>
      </c>
      <c r="D181" s="243">
        <f t="shared" si="64"/>
        <v>0</v>
      </c>
      <c r="E181" s="434"/>
      <c r="F181" s="434"/>
      <c r="G181" s="434"/>
      <c r="H181" s="434"/>
      <c r="I181" s="434"/>
      <c r="J181" s="434"/>
      <c r="K181" s="434"/>
      <c r="L181" s="434"/>
      <c r="M181" s="168"/>
    </row>
    <row r="182" spans="1:13" ht="27" customHeight="1">
      <c r="A182" s="271"/>
      <c r="B182" s="434"/>
      <c r="C182" s="243">
        <f t="shared" si="65"/>
        <v>0</v>
      </c>
      <c r="D182" s="243">
        <f t="shared" si="64"/>
        <v>0</v>
      </c>
      <c r="E182" s="434"/>
      <c r="F182" s="434"/>
      <c r="G182" s="434"/>
      <c r="H182" s="434"/>
      <c r="I182" s="434"/>
      <c r="J182" s="434"/>
      <c r="K182" s="434"/>
      <c r="L182" s="434"/>
      <c r="M182" s="168"/>
    </row>
    <row r="183" spans="1:13" ht="27" customHeight="1" thickBot="1">
      <c r="A183" s="271"/>
      <c r="B183" s="114"/>
      <c r="C183" s="229">
        <f t="shared" si="65"/>
        <v>0</v>
      </c>
      <c r="D183" s="438">
        <f t="shared" si="64"/>
        <v>0</v>
      </c>
      <c r="E183" s="435"/>
      <c r="F183" s="435"/>
      <c r="G183" s="435"/>
      <c r="H183" s="435"/>
      <c r="I183" s="435"/>
      <c r="J183" s="435"/>
      <c r="K183" s="435"/>
      <c r="L183" s="433"/>
      <c r="M183" s="168"/>
    </row>
    <row r="184" spans="1:13" ht="30" customHeight="1" thickBot="1">
      <c r="A184" s="280" t="s">
        <v>7</v>
      </c>
      <c r="B184" s="79">
        <f>SUM(B176:B183)</f>
        <v>0</v>
      </c>
      <c r="C184" s="73">
        <f>SUM(C176:C183)</f>
        <v>0</v>
      </c>
      <c r="D184" s="79">
        <f t="shared" ref="D184:L184" si="66">SUM(D176:D183)</f>
        <v>0</v>
      </c>
      <c r="E184" s="79">
        <f t="shared" si="66"/>
        <v>0</v>
      </c>
      <c r="F184" s="79">
        <f t="shared" si="66"/>
        <v>0</v>
      </c>
      <c r="G184" s="79">
        <f t="shared" si="66"/>
        <v>0</v>
      </c>
      <c r="H184" s="79">
        <f t="shared" si="66"/>
        <v>0</v>
      </c>
      <c r="I184" s="79">
        <f t="shared" si="66"/>
        <v>0</v>
      </c>
      <c r="J184" s="79">
        <f t="shared" si="66"/>
        <v>0</v>
      </c>
      <c r="K184" s="79">
        <f t="shared" si="66"/>
        <v>0</v>
      </c>
      <c r="L184" s="238">
        <f t="shared" si="66"/>
        <v>0</v>
      </c>
      <c r="M184" s="168"/>
    </row>
    <row r="185" spans="1:13" s="200" customFormat="1" ht="38.25" customHeight="1" thickTop="1">
      <c r="A185" s="589" t="s">
        <v>21</v>
      </c>
      <c r="B185" s="589"/>
      <c r="C185" s="240">
        <f>'صفحه اصلی'!C10</f>
        <v>0</v>
      </c>
      <c r="D185" s="589" t="s">
        <v>8</v>
      </c>
      <c r="E185" s="589"/>
      <c r="F185" s="240">
        <f>'صفحه اصلی'!C11</f>
        <v>0</v>
      </c>
      <c r="G185" s="197"/>
      <c r="H185" s="348" t="s">
        <v>9</v>
      </c>
      <c r="I185" s="673">
        <f>'صفحه اصلی'!C12</f>
        <v>0</v>
      </c>
      <c r="J185" s="673"/>
      <c r="K185" s="360" t="s">
        <v>10</v>
      </c>
      <c r="L185" s="352">
        <f>'صفحه اصلی'!C13</f>
        <v>0</v>
      </c>
    </row>
    <row r="186" spans="1:13" ht="26.25" customHeight="1" thickBot="1">
      <c r="A186" s="587" t="s">
        <v>19</v>
      </c>
      <c r="B186" s="587"/>
      <c r="C186" s="587"/>
      <c r="D186" s="587"/>
      <c r="E186" s="587"/>
      <c r="F186" s="587"/>
      <c r="G186" s="587"/>
      <c r="H186" s="587"/>
      <c r="I186" s="587"/>
      <c r="J186" s="587"/>
      <c r="K186" s="587"/>
      <c r="L186" s="266" t="s">
        <v>37</v>
      </c>
    </row>
    <row r="187" spans="1:13" ht="36.75" thickTop="1" thickBot="1">
      <c r="A187" s="582" t="s">
        <v>402</v>
      </c>
      <c r="B187" s="583"/>
      <c r="C187" s="583"/>
      <c r="D187" s="583"/>
      <c r="E187" s="583"/>
      <c r="F187" s="583"/>
      <c r="G187" s="583"/>
      <c r="H187" s="583"/>
      <c r="I187" s="583"/>
      <c r="J187" s="583"/>
      <c r="K187" s="583"/>
      <c r="L187" s="584"/>
    </row>
    <row r="188" spans="1:13" ht="36" thickBot="1">
      <c r="A188" s="203" t="s">
        <v>11</v>
      </c>
      <c r="B188" s="585"/>
      <c r="C188" s="585"/>
      <c r="D188" s="585"/>
      <c r="E188" s="585"/>
      <c r="F188" s="585"/>
      <c r="G188" s="585"/>
      <c r="H188" s="585"/>
      <c r="I188" s="585"/>
      <c r="J188" s="585"/>
      <c r="K188" s="585"/>
      <c r="L188" s="586"/>
    </row>
    <row r="189" spans="1:13" ht="21" thickTop="1"/>
  </sheetData>
  <sheetProtection formatCells="0" formatColumns="0" formatRows="0" insertColumns="0" insertRows="0" insertHyperlinks="0" deleteColumns="0" deleteRows="0" sort="0" autoFilter="0" pivotTables="0"/>
  <mergeCells count="210">
    <mergeCell ref="A20:K20"/>
    <mergeCell ref="A21:L21"/>
    <mergeCell ref="B22:L22"/>
    <mergeCell ref="H4:H5"/>
    <mergeCell ref="I4:I5"/>
    <mergeCell ref="J4:J5"/>
    <mergeCell ref="K4:K5"/>
    <mergeCell ref="L4:L5"/>
    <mergeCell ref="A19:B19"/>
    <mergeCell ref="D19:E19"/>
    <mergeCell ref="I19:J19"/>
    <mergeCell ref="A1:L1"/>
    <mergeCell ref="A2:B2"/>
    <mergeCell ref="A3:B3"/>
    <mergeCell ref="A4:A5"/>
    <mergeCell ref="B4:B5"/>
    <mergeCell ref="C4:C5"/>
    <mergeCell ref="D4:D5"/>
    <mergeCell ref="E4:E5"/>
    <mergeCell ref="F4:F5"/>
    <mergeCell ref="G4:G5"/>
    <mergeCell ref="A41:B41"/>
    <mergeCell ref="D41:E41"/>
    <mergeCell ref="I41:J41"/>
    <mergeCell ref="A42:K42"/>
    <mergeCell ref="A43:L43"/>
    <mergeCell ref="A23:L23"/>
    <mergeCell ref="A24:B24"/>
    <mergeCell ref="A25:B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59:B59"/>
    <mergeCell ref="D59:E59"/>
    <mergeCell ref="I59:J59"/>
    <mergeCell ref="A60:K60"/>
    <mergeCell ref="A61:L61"/>
    <mergeCell ref="B44:L44"/>
    <mergeCell ref="A45:L45"/>
    <mergeCell ref="A46:B46"/>
    <mergeCell ref="A47:B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77:B77"/>
    <mergeCell ref="D77:E77"/>
    <mergeCell ref="I77:J77"/>
    <mergeCell ref="A78:K78"/>
    <mergeCell ref="A79:L79"/>
    <mergeCell ref="B62:L62"/>
    <mergeCell ref="A63:L63"/>
    <mergeCell ref="A64:B64"/>
    <mergeCell ref="A65:B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B98:L98"/>
    <mergeCell ref="A95:B95"/>
    <mergeCell ref="D95:E95"/>
    <mergeCell ref="I95:J95"/>
    <mergeCell ref="A96:K96"/>
    <mergeCell ref="A97:L97"/>
    <mergeCell ref="B80:L80"/>
    <mergeCell ref="A81:L81"/>
    <mergeCell ref="A82:B82"/>
    <mergeCell ref="A83:B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A99:L99"/>
    <mergeCell ref="A100:B100"/>
    <mergeCell ref="A101:B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A113:B113"/>
    <mergeCell ref="D113:E113"/>
    <mergeCell ref="I113:J113"/>
    <mergeCell ref="A114:K114"/>
    <mergeCell ref="A115:L115"/>
    <mergeCell ref="B116:L116"/>
    <mergeCell ref="A117:L117"/>
    <mergeCell ref="A118:B118"/>
    <mergeCell ref="A119:B119"/>
    <mergeCell ref="J120:J121"/>
    <mergeCell ref="K120:K121"/>
    <mergeCell ref="L120:L121"/>
    <mergeCell ref="A131:B131"/>
    <mergeCell ref="D131:E131"/>
    <mergeCell ref="I131:J131"/>
    <mergeCell ref="A132:K132"/>
    <mergeCell ref="A133:L133"/>
    <mergeCell ref="B134:L134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A135:L135"/>
    <mergeCell ref="A136:B136"/>
    <mergeCell ref="A137:B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A149:B149"/>
    <mergeCell ref="D149:E149"/>
    <mergeCell ref="I149:J149"/>
    <mergeCell ref="A150:K150"/>
    <mergeCell ref="A151:L151"/>
    <mergeCell ref="B152:L152"/>
    <mergeCell ref="A153:L153"/>
    <mergeCell ref="A154:B154"/>
    <mergeCell ref="A155:B155"/>
    <mergeCell ref="J156:J157"/>
    <mergeCell ref="K156:K157"/>
    <mergeCell ref="L156:L157"/>
    <mergeCell ref="A167:B167"/>
    <mergeCell ref="D167:E167"/>
    <mergeCell ref="I167:J167"/>
    <mergeCell ref="A168:K168"/>
    <mergeCell ref="A169:L169"/>
    <mergeCell ref="B170:L170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A185:B185"/>
    <mergeCell ref="D185:E185"/>
    <mergeCell ref="I185:J185"/>
    <mergeCell ref="A186:K186"/>
    <mergeCell ref="A187:L187"/>
    <mergeCell ref="B188:L188"/>
    <mergeCell ref="A171:L171"/>
    <mergeCell ref="A172:B172"/>
    <mergeCell ref="A173:B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</mergeCells>
  <pageMargins left="0.25" right="0.34" top="0.59" bottom="0.57999999999999996" header="0.3" footer="0.3"/>
  <pageSetup paperSize="9" scale="90" orientation="landscape" r:id="rId1"/>
  <rowBreaks count="9" manualBreakCount="9">
    <brk id="22" max="11" man="1"/>
    <brk id="44" max="11" man="1"/>
    <brk id="62" max="11" man="1"/>
    <brk id="80" max="11" man="1"/>
    <brk id="98" max="11" man="1"/>
    <brk id="116" max="11" man="1"/>
    <brk id="134" max="11" man="1"/>
    <brk id="152" max="11" man="1"/>
    <brk id="170" max="11" man="1"/>
  </rowBreaks>
  <colBreaks count="1" manualBreakCount="1">
    <brk id="12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T171"/>
  <sheetViews>
    <sheetView showGridLines="0" rightToLeft="1" view="pageBreakPreview" zoomScale="80" zoomScaleSheetLayoutView="80" workbookViewId="0">
      <selection sqref="A1:L1"/>
    </sheetView>
  </sheetViews>
  <sheetFormatPr defaultRowHeight="20.25"/>
  <cols>
    <col min="1" max="1" width="6.625" style="167" customWidth="1"/>
    <col min="2" max="2" width="14.75" style="167" customWidth="1"/>
    <col min="3" max="5" width="14.5" style="167" customWidth="1"/>
    <col min="6" max="6" width="11.625" style="167" customWidth="1"/>
    <col min="7" max="7" width="9.625" style="167" customWidth="1"/>
    <col min="8" max="8" width="11.125" style="167" customWidth="1"/>
    <col min="9" max="9" width="8.375" style="167" customWidth="1"/>
    <col min="10" max="10" width="7.875" style="167" customWidth="1"/>
    <col min="11" max="11" width="10.375" style="167" customWidth="1"/>
    <col min="12" max="12" width="10.125" style="167" customWidth="1"/>
    <col min="13" max="13" width="2.75" style="167" customWidth="1"/>
    <col min="14" max="20" width="9" style="91"/>
    <col min="21" max="16384" width="9" style="167"/>
  </cols>
  <sheetData>
    <row r="1" spans="1:20" s="4" customFormat="1" ht="38.25" customHeight="1">
      <c r="A1" s="646" t="s">
        <v>40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N1" s="92"/>
      <c r="O1" s="92"/>
      <c r="P1" s="92"/>
      <c r="Q1" s="92"/>
      <c r="R1" s="92"/>
      <c r="S1" s="92"/>
      <c r="T1" s="92"/>
    </row>
    <row r="2" spans="1:20" s="67" customFormat="1" ht="30" customHeight="1">
      <c r="A2" s="611" t="s">
        <v>0</v>
      </c>
      <c r="B2" s="611"/>
      <c r="C2" s="241">
        <f>'صفحه اصلی'!C7</f>
        <v>0</v>
      </c>
      <c r="D2" s="241"/>
      <c r="E2" s="241"/>
      <c r="F2" s="241"/>
      <c r="G2" s="241"/>
      <c r="H2" s="241"/>
      <c r="I2" s="241"/>
      <c r="J2" s="241"/>
      <c r="K2" s="241"/>
      <c r="L2" s="241"/>
      <c r="N2" s="93"/>
      <c r="O2" s="93"/>
      <c r="P2" s="93"/>
      <c r="Q2" s="93"/>
      <c r="R2" s="93"/>
      <c r="S2" s="93"/>
      <c r="T2" s="93"/>
    </row>
    <row r="3" spans="1:20" s="67" customFormat="1" ht="31.5" customHeight="1" thickBot="1">
      <c r="A3" s="612" t="s">
        <v>1</v>
      </c>
      <c r="B3" s="612"/>
      <c r="C3" s="359">
        <f>'صفحه اصلی'!C8</f>
        <v>0</v>
      </c>
      <c r="D3" s="356" t="s">
        <v>31</v>
      </c>
      <c r="E3" s="290">
        <f>'4ابلاغی'!E3</f>
        <v>0</v>
      </c>
      <c r="F3" s="408"/>
      <c r="G3" s="356" t="s">
        <v>53</v>
      </c>
      <c r="H3" s="359">
        <f>'صفحه اصلی'!C9</f>
        <v>0</v>
      </c>
      <c r="I3" s="359"/>
      <c r="J3" s="359"/>
      <c r="K3" s="359"/>
      <c r="L3" s="347"/>
      <c r="N3" s="93"/>
      <c r="O3" s="93"/>
      <c r="P3" s="93"/>
      <c r="Q3" s="93"/>
      <c r="R3" s="93"/>
      <c r="S3" s="93"/>
      <c r="T3" s="93"/>
    </row>
    <row r="4" spans="1:20" s="200" customFormat="1" ht="24" customHeight="1" thickTop="1">
      <c r="A4" s="684" t="s">
        <v>23</v>
      </c>
      <c r="B4" s="686" t="s">
        <v>16</v>
      </c>
      <c r="C4" s="686" t="s">
        <v>32</v>
      </c>
      <c r="D4" s="686" t="s">
        <v>33</v>
      </c>
      <c r="E4" s="687" t="s">
        <v>34</v>
      </c>
      <c r="F4" s="687" t="s">
        <v>35</v>
      </c>
      <c r="G4" s="686" t="s">
        <v>384</v>
      </c>
      <c r="H4" s="686" t="s">
        <v>2</v>
      </c>
      <c r="I4" s="642" t="s">
        <v>68</v>
      </c>
      <c r="J4" s="642" t="s">
        <v>69</v>
      </c>
      <c r="K4" s="642" t="s">
        <v>61</v>
      </c>
      <c r="L4" s="689" t="s">
        <v>3</v>
      </c>
      <c r="N4" s="90"/>
      <c r="O4" s="90"/>
      <c r="P4" s="90"/>
      <c r="Q4" s="90"/>
      <c r="R4" s="90"/>
      <c r="S4" s="90"/>
      <c r="T4" s="90"/>
    </row>
    <row r="5" spans="1:20" s="200" customFormat="1" ht="24" customHeight="1" thickBot="1">
      <c r="A5" s="685"/>
      <c r="B5" s="649"/>
      <c r="C5" s="649"/>
      <c r="D5" s="649"/>
      <c r="E5" s="688"/>
      <c r="F5" s="688"/>
      <c r="G5" s="649"/>
      <c r="H5" s="649"/>
      <c r="I5" s="649"/>
      <c r="J5" s="643"/>
      <c r="K5" s="643"/>
      <c r="L5" s="645"/>
      <c r="N5" s="90"/>
      <c r="O5" s="90"/>
      <c r="P5" s="90"/>
      <c r="Q5" s="90"/>
      <c r="R5" s="90"/>
      <c r="S5" s="90"/>
      <c r="T5" s="90"/>
    </row>
    <row r="6" spans="1:20" ht="29.25" customHeight="1">
      <c r="A6" s="282" t="s">
        <v>41</v>
      </c>
      <c r="B6" s="443">
        <f>'3 ابلاغی'!L6</f>
        <v>0</v>
      </c>
      <c r="C6" s="244">
        <f t="shared" ref="C6:C12" si="0">B6</f>
        <v>0</v>
      </c>
      <c r="D6" s="283">
        <f>SUM(E6:J6)</f>
        <v>0</v>
      </c>
      <c r="E6" s="434"/>
      <c r="F6" s="434"/>
      <c r="G6" s="434"/>
      <c r="H6" s="434"/>
      <c r="I6" s="434"/>
      <c r="J6" s="434"/>
      <c r="K6" s="434"/>
      <c r="L6" s="434"/>
      <c r="N6" s="602" t="str">
        <f>IF(B13='4ابلاغی'!B18," ","مغایرت جمع ستون اعتبار اصلاحی با اعتبار اصلاحی فرم 4 ابلاغی")</f>
        <v xml:space="preserve"> </v>
      </c>
      <c r="O6" s="602"/>
      <c r="P6" s="602"/>
      <c r="Q6" s="602"/>
      <c r="R6" s="602"/>
      <c r="S6" s="602"/>
      <c r="T6" s="602"/>
    </row>
    <row r="7" spans="1:20" ht="29.25" customHeight="1">
      <c r="A7" s="284" t="s">
        <v>42</v>
      </c>
      <c r="B7" s="444">
        <f>'3 ابلاغی'!L7</f>
        <v>0</v>
      </c>
      <c r="C7" s="244">
        <f t="shared" si="0"/>
        <v>0</v>
      </c>
      <c r="D7" s="244">
        <f t="shared" ref="D7:D12" si="1">SUM(E7:J7)</f>
        <v>0</v>
      </c>
      <c r="E7" s="434"/>
      <c r="F7" s="434"/>
      <c r="G7" s="434"/>
      <c r="H7" s="434"/>
      <c r="I7" s="434"/>
      <c r="J7" s="434"/>
      <c r="K7" s="434"/>
      <c r="L7" s="434"/>
      <c r="N7" s="602" t="str">
        <f>IF(D13='4ابلاغی'!D18," ","مغایرت جمع ستون کنترل تخصیص با کنترل تخصیص فرم 4 ابلاغی")</f>
        <v xml:space="preserve"> </v>
      </c>
      <c r="O7" s="602"/>
      <c r="P7" s="602"/>
      <c r="Q7" s="602"/>
      <c r="R7" s="602"/>
      <c r="S7" s="602"/>
      <c r="T7" s="602"/>
    </row>
    <row r="8" spans="1:20" ht="29.25" customHeight="1">
      <c r="A8" s="284" t="s">
        <v>43</v>
      </c>
      <c r="B8" s="444">
        <f>'3 ابلاغی'!L8</f>
        <v>0</v>
      </c>
      <c r="C8" s="409">
        <f t="shared" si="0"/>
        <v>0</v>
      </c>
      <c r="D8" s="244">
        <f t="shared" si="1"/>
        <v>0</v>
      </c>
      <c r="E8" s="434"/>
      <c r="F8" s="434"/>
      <c r="G8" s="434"/>
      <c r="H8" s="434"/>
      <c r="I8" s="434"/>
      <c r="J8" s="434"/>
      <c r="K8" s="434"/>
      <c r="L8" s="434"/>
      <c r="N8" s="602" t="str">
        <f>IF(E13='4ابلاغی'!E18," ","مغایرت جمع ستون هزینه با هزینه فرم 4 ابلاغی")</f>
        <v xml:space="preserve"> </v>
      </c>
      <c r="O8" s="602"/>
      <c r="P8" s="602"/>
      <c r="Q8" s="602"/>
      <c r="R8" s="602"/>
      <c r="S8" s="602"/>
      <c r="T8" s="602"/>
    </row>
    <row r="9" spans="1:20" ht="29.25" customHeight="1">
      <c r="A9" s="285" t="s">
        <v>44</v>
      </c>
      <c r="B9" s="445">
        <f>'3 ابلاغی'!L9</f>
        <v>0</v>
      </c>
      <c r="C9" s="410">
        <f t="shared" si="0"/>
        <v>0</v>
      </c>
      <c r="D9" s="244">
        <f t="shared" si="1"/>
        <v>0</v>
      </c>
      <c r="E9" s="434"/>
      <c r="F9" s="434"/>
      <c r="G9" s="434"/>
      <c r="H9" s="434"/>
      <c r="I9" s="434"/>
      <c r="J9" s="434"/>
      <c r="K9" s="434"/>
      <c r="L9" s="434"/>
      <c r="N9" s="602" t="str">
        <f>IF(F13='4ابلاغی'!F18," ","مغایرت جمع ستون پیش پرداخت با پیش پرداخت فرم 4 ابلاغی")</f>
        <v xml:space="preserve"> </v>
      </c>
      <c r="O9" s="602"/>
      <c r="P9" s="602"/>
      <c r="Q9" s="602"/>
      <c r="R9" s="602"/>
      <c r="S9" s="602"/>
      <c r="T9" s="602"/>
    </row>
    <row r="10" spans="1:20" ht="29.25" customHeight="1">
      <c r="A10" s="285" t="s">
        <v>45</v>
      </c>
      <c r="B10" s="446">
        <f>'3 ابلاغی'!L10</f>
        <v>0</v>
      </c>
      <c r="C10" s="244">
        <f t="shared" si="0"/>
        <v>0</v>
      </c>
      <c r="D10" s="244">
        <f t="shared" si="1"/>
        <v>0</v>
      </c>
      <c r="E10" s="434"/>
      <c r="F10" s="434"/>
      <c r="G10" s="434"/>
      <c r="H10" s="434"/>
      <c r="I10" s="434"/>
      <c r="J10" s="434"/>
      <c r="K10" s="434"/>
      <c r="L10" s="434"/>
      <c r="N10" s="602" t="str">
        <f>IF(H13='4ابلاغی'!H18," ","مغایرت جمع ستون علی الحساب با علی الحساب فرم 4 ابلاغی")</f>
        <v xml:space="preserve"> </v>
      </c>
      <c r="O10" s="602"/>
      <c r="P10" s="602"/>
      <c r="Q10" s="602"/>
      <c r="R10" s="602"/>
      <c r="S10" s="602"/>
      <c r="T10" s="602"/>
    </row>
    <row r="11" spans="1:20" ht="29.25" customHeight="1">
      <c r="A11" s="285" t="s">
        <v>46</v>
      </c>
      <c r="B11" s="444">
        <f>'3 ابلاغی'!L11</f>
        <v>0</v>
      </c>
      <c r="C11" s="409">
        <f t="shared" si="0"/>
        <v>0</v>
      </c>
      <c r="D11" s="244">
        <f t="shared" si="1"/>
        <v>0</v>
      </c>
      <c r="E11" s="434"/>
      <c r="F11" s="434"/>
      <c r="G11" s="434"/>
      <c r="H11" s="434"/>
      <c r="I11" s="434"/>
      <c r="J11" s="434"/>
      <c r="K11" s="434"/>
      <c r="L11" s="434"/>
      <c r="N11" s="602" t="str">
        <f>IF(K13='4ابلاغی'!K18," ","مغایرت جمع ستون واریزی به خزانه با واریزی به خزانه فرم 4 ابلاغی")</f>
        <v xml:space="preserve"> </v>
      </c>
      <c r="O11" s="602"/>
      <c r="P11" s="602"/>
      <c r="Q11" s="602"/>
      <c r="R11" s="602"/>
      <c r="S11" s="602"/>
      <c r="T11" s="602"/>
    </row>
    <row r="12" spans="1:20" ht="29.25" customHeight="1" thickBot="1">
      <c r="A12" s="286" t="s">
        <v>47</v>
      </c>
      <c r="B12" s="447">
        <f>'3 ابلاغی'!L12</f>
        <v>0</v>
      </c>
      <c r="C12" s="245">
        <f t="shared" si="0"/>
        <v>0</v>
      </c>
      <c r="D12" s="245">
        <f t="shared" si="1"/>
        <v>0</v>
      </c>
      <c r="E12" s="434"/>
      <c r="F12" s="434"/>
      <c r="G12" s="434"/>
      <c r="H12" s="434"/>
      <c r="I12" s="434"/>
      <c r="J12" s="434"/>
      <c r="K12" s="434"/>
      <c r="L12" s="434"/>
      <c r="N12" s="602" t="str">
        <f>IF(L13='4ابلاغی'!L18," ","مغایرت جمع ستون انتقالی با انتقالی فرم 4 ابلاغی")</f>
        <v xml:space="preserve"> </v>
      </c>
      <c r="O12" s="602"/>
      <c r="P12" s="602"/>
      <c r="Q12" s="602"/>
      <c r="R12" s="602"/>
      <c r="S12" s="602"/>
      <c r="T12" s="602"/>
    </row>
    <row r="13" spans="1:20" ht="33" customHeight="1" thickBot="1">
      <c r="A13" s="280" t="s">
        <v>7</v>
      </c>
      <c r="B13" s="436">
        <f>SUM(B6:B12)</f>
        <v>0</v>
      </c>
      <c r="C13" s="436">
        <f t="shared" ref="C13" si="2">SUM(C6:C12)</f>
        <v>0</v>
      </c>
      <c r="D13" s="436">
        <f t="shared" ref="D13" si="3">SUM(D6:D12)</f>
        <v>0</v>
      </c>
      <c r="E13" s="436">
        <f t="shared" ref="E13" si="4">SUM(E6:E12)</f>
        <v>0</v>
      </c>
      <c r="F13" s="436">
        <f t="shared" ref="F13" si="5">SUM(F6:F12)</f>
        <v>0</v>
      </c>
      <c r="G13" s="436">
        <f t="shared" ref="G13" si="6">SUM(G6:G12)</f>
        <v>0</v>
      </c>
      <c r="H13" s="436">
        <f t="shared" ref="H13" si="7">SUM(H6:H12)</f>
        <v>0</v>
      </c>
      <c r="I13" s="436">
        <f t="shared" ref="I13" si="8">SUM(I6:I12)</f>
        <v>0</v>
      </c>
      <c r="J13" s="436">
        <f t="shared" ref="J13" si="9">SUM(J6:J12)</f>
        <v>0</v>
      </c>
      <c r="K13" s="436">
        <f t="shared" ref="K13" si="10">SUM(K6:K12)</f>
        <v>0</v>
      </c>
      <c r="L13" s="75">
        <f t="shared" ref="L13" si="11">SUM(L6:L12)</f>
        <v>0</v>
      </c>
      <c r="M13" s="168"/>
      <c r="N13" s="602"/>
      <c r="O13" s="602"/>
      <c r="P13" s="602"/>
      <c r="Q13" s="602"/>
      <c r="R13" s="602"/>
      <c r="S13" s="602"/>
      <c r="T13" s="602"/>
    </row>
    <row r="14" spans="1:20" s="200" customFormat="1" ht="42.75" customHeight="1" thickTop="1">
      <c r="A14" s="671" t="s">
        <v>21</v>
      </c>
      <c r="B14" s="671"/>
      <c r="C14" s="455">
        <f>'صفحه اصلی'!C10</f>
        <v>0</v>
      </c>
      <c r="D14" s="671" t="s">
        <v>8</v>
      </c>
      <c r="E14" s="671"/>
      <c r="F14" s="349">
        <f>'صفحه اصلی'!C11</f>
        <v>0</v>
      </c>
      <c r="G14" s="349"/>
      <c r="H14" s="348" t="s">
        <v>9</v>
      </c>
      <c r="I14" s="197">
        <f>'صفحه اصلی'!C12</f>
        <v>0</v>
      </c>
      <c r="J14" s="348"/>
      <c r="K14" s="360" t="s">
        <v>10</v>
      </c>
      <c r="L14" s="281">
        <f>'صفحه اصلی'!C13</f>
        <v>0</v>
      </c>
      <c r="N14" s="90"/>
      <c r="O14" s="90"/>
      <c r="P14" s="90"/>
      <c r="Q14" s="90"/>
      <c r="R14" s="90"/>
      <c r="S14" s="90"/>
      <c r="T14" s="90"/>
    </row>
    <row r="15" spans="1:20" ht="30" customHeight="1" thickBot="1">
      <c r="A15" s="587" t="s">
        <v>19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266" t="s">
        <v>39</v>
      </c>
    </row>
    <row r="16" spans="1:20" ht="30.75" customHeight="1" thickTop="1" thickBot="1">
      <c r="A16" s="582" t="s">
        <v>391</v>
      </c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4"/>
    </row>
    <row r="17" spans="1:20" ht="28.5" customHeight="1" thickBot="1">
      <c r="A17" s="203" t="s">
        <v>11</v>
      </c>
      <c r="B17" s="680"/>
      <c r="C17" s="680"/>
      <c r="D17" s="680"/>
      <c r="E17" s="680"/>
      <c r="F17" s="680"/>
      <c r="G17" s="680"/>
      <c r="H17" s="680"/>
      <c r="I17" s="680"/>
      <c r="J17" s="680"/>
      <c r="K17" s="680"/>
      <c r="L17" s="681"/>
    </row>
    <row r="18" spans="1:20" s="4" customFormat="1" ht="38.25" customHeight="1" thickTop="1">
      <c r="A18" s="646" t="s">
        <v>40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N18" s="92"/>
      <c r="O18" s="92"/>
      <c r="P18" s="92"/>
      <c r="Q18" s="92"/>
      <c r="R18" s="92"/>
      <c r="S18" s="92"/>
      <c r="T18" s="92"/>
    </row>
    <row r="19" spans="1:20" s="67" customFormat="1" ht="30" customHeight="1">
      <c r="A19" s="611" t="s">
        <v>0</v>
      </c>
      <c r="B19" s="611"/>
      <c r="C19" s="241">
        <f>'صفحه اصلی'!C7</f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N19" s="93"/>
      <c r="O19" s="93"/>
      <c r="P19" s="93"/>
      <c r="Q19" s="93"/>
      <c r="R19" s="93"/>
      <c r="S19" s="93"/>
      <c r="T19" s="93"/>
    </row>
    <row r="20" spans="1:20" s="67" customFormat="1" ht="31.5" customHeight="1" thickBot="1">
      <c r="A20" s="612" t="s">
        <v>1</v>
      </c>
      <c r="B20" s="612"/>
      <c r="C20" s="359">
        <f>'صفحه اصلی'!C8</f>
        <v>0</v>
      </c>
      <c r="D20" s="356" t="s">
        <v>31</v>
      </c>
      <c r="E20" s="290">
        <f>'4ابلاغی'!E25</f>
        <v>0</v>
      </c>
      <c r="F20" s="408"/>
      <c r="G20" s="356" t="s">
        <v>53</v>
      </c>
      <c r="H20" s="359">
        <f>'صفحه اصلی'!C9</f>
        <v>0</v>
      </c>
      <c r="I20" s="359"/>
      <c r="J20" s="359"/>
      <c r="K20" s="359"/>
      <c r="L20" s="347"/>
      <c r="N20" s="93"/>
      <c r="O20" s="93"/>
      <c r="P20" s="93"/>
      <c r="Q20" s="93"/>
      <c r="R20" s="93"/>
      <c r="S20" s="93"/>
      <c r="T20" s="93"/>
    </row>
    <row r="21" spans="1:20" s="200" customFormat="1" ht="24" customHeight="1" thickTop="1">
      <c r="A21" s="684" t="s">
        <v>23</v>
      </c>
      <c r="B21" s="686" t="s">
        <v>16</v>
      </c>
      <c r="C21" s="686" t="s">
        <v>32</v>
      </c>
      <c r="D21" s="686" t="s">
        <v>33</v>
      </c>
      <c r="E21" s="687" t="s">
        <v>34</v>
      </c>
      <c r="F21" s="687" t="s">
        <v>35</v>
      </c>
      <c r="G21" s="686" t="s">
        <v>384</v>
      </c>
      <c r="H21" s="686" t="s">
        <v>2</v>
      </c>
      <c r="I21" s="642" t="s">
        <v>68</v>
      </c>
      <c r="J21" s="642" t="s">
        <v>69</v>
      </c>
      <c r="K21" s="642" t="s">
        <v>61</v>
      </c>
      <c r="L21" s="689" t="s">
        <v>3</v>
      </c>
      <c r="N21" s="90"/>
      <c r="O21" s="90"/>
      <c r="P21" s="90"/>
      <c r="Q21" s="90"/>
      <c r="R21" s="90"/>
      <c r="S21" s="90"/>
      <c r="T21" s="90"/>
    </row>
    <row r="22" spans="1:20" s="200" customFormat="1" ht="24" customHeight="1" thickBot="1">
      <c r="A22" s="685"/>
      <c r="B22" s="649"/>
      <c r="C22" s="649"/>
      <c r="D22" s="649"/>
      <c r="E22" s="688"/>
      <c r="F22" s="688"/>
      <c r="G22" s="649"/>
      <c r="H22" s="649"/>
      <c r="I22" s="649"/>
      <c r="J22" s="643"/>
      <c r="K22" s="643"/>
      <c r="L22" s="645"/>
      <c r="N22" s="90"/>
      <c r="O22" s="90"/>
      <c r="P22" s="90"/>
      <c r="Q22" s="90"/>
      <c r="R22" s="90"/>
      <c r="S22" s="90"/>
      <c r="T22" s="90"/>
    </row>
    <row r="23" spans="1:20" ht="29.25" customHeight="1">
      <c r="A23" s="282" t="s">
        <v>41</v>
      </c>
      <c r="B23" s="434"/>
      <c r="C23" s="244">
        <f t="shared" ref="C23:C29" si="12">B23</f>
        <v>0</v>
      </c>
      <c r="D23" s="283">
        <f>SUM(E23:J23)</f>
        <v>0</v>
      </c>
      <c r="E23" s="434"/>
      <c r="F23" s="434"/>
      <c r="G23" s="434"/>
      <c r="H23" s="434"/>
      <c r="I23" s="434"/>
      <c r="J23" s="434"/>
      <c r="K23" s="434"/>
      <c r="L23" s="434"/>
      <c r="N23" s="602" t="str">
        <f>IF(B30='4ابلاغی'!B40," ","مغایرت جمع ستون اعتبار اصلاحی با اعتبار اصلاحی فرم 4 ابلاغی")</f>
        <v xml:space="preserve"> </v>
      </c>
      <c r="O23" s="602"/>
      <c r="P23" s="602"/>
      <c r="Q23" s="602"/>
      <c r="R23" s="602"/>
      <c r="S23" s="602"/>
      <c r="T23" s="602"/>
    </row>
    <row r="24" spans="1:20" ht="29.25" customHeight="1">
      <c r="A24" s="284" t="s">
        <v>42</v>
      </c>
      <c r="B24" s="434"/>
      <c r="C24" s="244">
        <f t="shared" si="12"/>
        <v>0</v>
      </c>
      <c r="D24" s="244">
        <f t="shared" ref="D24:D29" si="13">SUM(E24:J24)</f>
        <v>0</v>
      </c>
      <c r="E24" s="434"/>
      <c r="F24" s="434"/>
      <c r="G24" s="434"/>
      <c r="H24" s="434"/>
      <c r="I24" s="434"/>
      <c r="J24" s="434"/>
      <c r="K24" s="434"/>
      <c r="L24" s="434"/>
      <c r="N24" s="602" t="str">
        <f>IF(D30='4ابلاغی'!D40," ","مغایرت جمع ستون کنترل تخصیص با کنترل تخصیص فرم 4 ابلاغی")</f>
        <v xml:space="preserve"> </v>
      </c>
      <c r="O24" s="602"/>
      <c r="P24" s="602"/>
      <c r="Q24" s="602"/>
      <c r="R24" s="602"/>
      <c r="S24" s="602"/>
      <c r="T24" s="602"/>
    </row>
    <row r="25" spans="1:20" ht="29.25" customHeight="1">
      <c r="A25" s="284" t="s">
        <v>43</v>
      </c>
      <c r="B25" s="434"/>
      <c r="C25" s="409">
        <f t="shared" si="12"/>
        <v>0</v>
      </c>
      <c r="D25" s="244">
        <f t="shared" si="13"/>
        <v>0</v>
      </c>
      <c r="E25" s="434"/>
      <c r="F25" s="434"/>
      <c r="G25" s="434"/>
      <c r="H25" s="434"/>
      <c r="I25" s="434"/>
      <c r="J25" s="434"/>
      <c r="K25" s="434"/>
      <c r="L25" s="434"/>
      <c r="N25" s="602" t="str">
        <f>IF(E30='4ابلاغی'!E40," ","مغایرت جمع ستون هزینه با هزینه فرم 4 ابلاغی")</f>
        <v xml:space="preserve"> </v>
      </c>
      <c r="O25" s="602"/>
      <c r="P25" s="602"/>
      <c r="Q25" s="602"/>
      <c r="R25" s="602"/>
      <c r="S25" s="602"/>
      <c r="T25" s="602"/>
    </row>
    <row r="26" spans="1:20" ht="29.25" customHeight="1">
      <c r="A26" s="285" t="s">
        <v>44</v>
      </c>
      <c r="B26" s="434"/>
      <c r="C26" s="410">
        <f t="shared" si="12"/>
        <v>0</v>
      </c>
      <c r="D26" s="244">
        <f t="shared" si="13"/>
        <v>0</v>
      </c>
      <c r="E26" s="434"/>
      <c r="F26" s="434"/>
      <c r="G26" s="434"/>
      <c r="H26" s="434"/>
      <c r="I26" s="434"/>
      <c r="J26" s="434"/>
      <c r="K26" s="434"/>
      <c r="L26" s="434"/>
      <c r="N26" s="602" t="str">
        <f>IF(F30='4ابلاغی'!F40," ","مغایرت جمع ستون پیش پرداخت با پیش پرداخت فرم 4 ابلاغی")</f>
        <v xml:space="preserve"> </v>
      </c>
      <c r="O26" s="602"/>
      <c r="P26" s="602"/>
      <c r="Q26" s="602"/>
      <c r="R26" s="602"/>
      <c r="S26" s="602"/>
      <c r="T26" s="602"/>
    </row>
    <row r="27" spans="1:20" ht="29.25" customHeight="1">
      <c r="A27" s="285" t="s">
        <v>45</v>
      </c>
      <c r="B27" s="434"/>
      <c r="C27" s="244">
        <f t="shared" si="12"/>
        <v>0</v>
      </c>
      <c r="D27" s="244">
        <f t="shared" si="13"/>
        <v>0</v>
      </c>
      <c r="E27" s="434"/>
      <c r="F27" s="434"/>
      <c r="G27" s="434"/>
      <c r="H27" s="434"/>
      <c r="I27" s="434"/>
      <c r="J27" s="434"/>
      <c r="K27" s="434"/>
      <c r="L27" s="434"/>
      <c r="N27" s="602" t="str">
        <f>IF(H30='4ابلاغی'!H40," ","مغایرت جمع ستون علی الحساب با علی الحساب فرم 4 ابلاغی")</f>
        <v xml:space="preserve"> </v>
      </c>
      <c r="O27" s="602"/>
      <c r="P27" s="602"/>
      <c r="Q27" s="602"/>
      <c r="R27" s="602"/>
      <c r="S27" s="602"/>
      <c r="T27" s="602"/>
    </row>
    <row r="28" spans="1:20" ht="29.25" customHeight="1">
      <c r="A28" s="285" t="s">
        <v>46</v>
      </c>
      <c r="B28" s="434"/>
      <c r="C28" s="409">
        <f t="shared" si="12"/>
        <v>0</v>
      </c>
      <c r="D28" s="244">
        <f t="shared" si="13"/>
        <v>0</v>
      </c>
      <c r="E28" s="434"/>
      <c r="F28" s="434"/>
      <c r="G28" s="434"/>
      <c r="H28" s="434"/>
      <c r="I28" s="434"/>
      <c r="J28" s="434"/>
      <c r="K28" s="434"/>
      <c r="L28" s="434"/>
      <c r="N28" s="602" t="str">
        <f>IF(K30='4ابلاغی'!K40," ","مغایرت جمع ستون واریزی به خزانه با واریزی به خزانه فرم 4 ابلاغی")</f>
        <v xml:space="preserve"> </v>
      </c>
      <c r="O28" s="602"/>
      <c r="P28" s="602"/>
      <c r="Q28" s="602"/>
      <c r="R28" s="602"/>
      <c r="S28" s="602"/>
      <c r="T28" s="602"/>
    </row>
    <row r="29" spans="1:20" ht="29.25" customHeight="1" thickBot="1">
      <c r="A29" s="286" t="s">
        <v>47</v>
      </c>
      <c r="B29" s="434"/>
      <c r="C29" s="245">
        <f t="shared" si="12"/>
        <v>0</v>
      </c>
      <c r="D29" s="245">
        <f t="shared" si="13"/>
        <v>0</v>
      </c>
      <c r="E29" s="434"/>
      <c r="F29" s="434"/>
      <c r="G29" s="434"/>
      <c r="H29" s="434"/>
      <c r="I29" s="434"/>
      <c r="J29" s="434"/>
      <c r="K29" s="434"/>
      <c r="L29" s="434"/>
      <c r="N29" s="602" t="str">
        <f>IF(L30='4ابلاغی'!L40," ","مغایرت جمع ستون انتقالی با انتقالی فرم 4 ابلاغی")</f>
        <v xml:space="preserve"> </v>
      </c>
      <c r="O29" s="602"/>
      <c r="P29" s="602"/>
      <c r="Q29" s="602"/>
      <c r="R29" s="602"/>
      <c r="S29" s="602"/>
      <c r="T29" s="602"/>
    </row>
    <row r="30" spans="1:20" ht="33" customHeight="1" thickBot="1">
      <c r="A30" s="280" t="s">
        <v>7</v>
      </c>
      <c r="B30" s="355">
        <f>SUM(B23:B29)</f>
        <v>0</v>
      </c>
      <c r="C30" s="355">
        <f t="shared" ref="C30" si="14">SUM(C23:C29)</f>
        <v>0</v>
      </c>
      <c r="D30" s="355">
        <f t="shared" ref="D30" si="15">SUM(D23:D29)</f>
        <v>0</v>
      </c>
      <c r="E30" s="355">
        <f t="shared" ref="E30" si="16">SUM(E23:E29)</f>
        <v>0</v>
      </c>
      <c r="F30" s="355">
        <f t="shared" ref="F30" si="17">SUM(F23:F29)</f>
        <v>0</v>
      </c>
      <c r="G30" s="355">
        <f t="shared" ref="G30" si="18">SUM(G23:G29)</f>
        <v>0</v>
      </c>
      <c r="H30" s="355">
        <f t="shared" ref="H30" si="19">SUM(H23:H29)</f>
        <v>0</v>
      </c>
      <c r="I30" s="355">
        <f t="shared" ref="I30" si="20">SUM(I23:I29)</f>
        <v>0</v>
      </c>
      <c r="J30" s="355">
        <f t="shared" ref="J30" si="21">SUM(J23:J29)</f>
        <v>0</v>
      </c>
      <c r="K30" s="355">
        <f t="shared" ref="K30" si="22">SUM(K23:K29)</f>
        <v>0</v>
      </c>
      <c r="L30" s="75">
        <f t="shared" ref="L30" si="23">SUM(L23:L29)</f>
        <v>0</v>
      </c>
      <c r="M30" s="168"/>
      <c r="N30" s="602"/>
      <c r="O30" s="602"/>
      <c r="P30" s="602"/>
      <c r="Q30" s="602"/>
      <c r="R30" s="602"/>
      <c r="S30" s="602"/>
      <c r="T30" s="602"/>
    </row>
    <row r="31" spans="1:20" s="200" customFormat="1" ht="42.75" customHeight="1" thickTop="1">
      <c r="A31" s="671" t="s">
        <v>21</v>
      </c>
      <c r="B31" s="671"/>
      <c r="C31" s="240">
        <f>'صفحه اصلی'!C10</f>
        <v>0</v>
      </c>
      <c r="D31" s="671" t="s">
        <v>8</v>
      </c>
      <c r="E31" s="671"/>
      <c r="F31" s="239">
        <f>'صفحه اصلی'!C11</f>
        <v>0</v>
      </c>
      <c r="G31" s="349"/>
      <c r="H31" s="348" t="s">
        <v>9</v>
      </c>
      <c r="I31" s="240">
        <f>'صفحه اصلی'!C12</f>
        <v>0</v>
      </c>
      <c r="J31" s="348"/>
      <c r="K31" s="360" t="s">
        <v>10</v>
      </c>
      <c r="L31" s="352">
        <f>'صفحه اصلی'!C13</f>
        <v>0</v>
      </c>
      <c r="N31" s="90"/>
      <c r="O31" s="90"/>
      <c r="P31" s="90"/>
      <c r="Q31" s="90"/>
      <c r="R31" s="90"/>
      <c r="S31" s="90"/>
      <c r="T31" s="90"/>
    </row>
    <row r="32" spans="1:20" ht="30" customHeight="1" thickBot="1">
      <c r="A32" s="587" t="s">
        <v>19</v>
      </c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266" t="s">
        <v>39</v>
      </c>
    </row>
    <row r="33" spans="1:20" ht="30.75" customHeight="1" thickTop="1" thickBot="1">
      <c r="A33" s="582" t="s">
        <v>391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4"/>
    </row>
    <row r="34" spans="1:20" ht="28.5" customHeight="1" thickBot="1">
      <c r="A34" s="203" t="s">
        <v>11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1"/>
    </row>
    <row r="35" spans="1:20" s="4" customFormat="1" ht="38.25" customHeight="1" thickTop="1">
      <c r="A35" s="646" t="s">
        <v>40</v>
      </c>
      <c r="B35" s="646"/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N35" s="92"/>
      <c r="O35" s="92"/>
      <c r="P35" s="92"/>
      <c r="Q35" s="92"/>
      <c r="R35" s="92"/>
      <c r="S35" s="92"/>
      <c r="T35" s="92"/>
    </row>
    <row r="36" spans="1:20" s="67" customFormat="1" ht="30" customHeight="1">
      <c r="A36" s="611" t="s">
        <v>0</v>
      </c>
      <c r="B36" s="611"/>
      <c r="C36" s="241">
        <f>'صفحه اصلی'!C7</f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N36" s="93"/>
      <c r="O36" s="93"/>
      <c r="P36" s="93"/>
      <c r="Q36" s="93"/>
      <c r="R36" s="93"/>
      <c r="S36" s="93"/>
      <c r="T36" s="93"/>
    </row>
    <row r="37" spans="1:20" s="67" customFormat="1" ht="31.5" customHeight="1" thickBot="1">
      <c r="A37" s="612" t="s">
        <v>1</v>
      </c>
      <c r="B37" s="612"/>
      <c r="C37" s="359">
        <f>'صفحه اصلی'!C8</f>
        <v>0</v>
      </c>
      <c r="D37" s="356" t="s">
        <v>31</v>
      </c>
      <c r="E37" s="290">
        <f>'4ابلاغی'!E47</f>
        <v>0</v>
      </c>
      <c r="F37" s="408"/>
      <c r="G37" s="356" t="s">
        <v>53</v>
      </c>
      <c r="H37" s="359">
        <f>'صفحه اصلی'!C9</f>
        <v>0</v>
      </c>
      <c r="I37" s="359"/>
      <c r="J37" s="359"/>
      <c r="K37" s="359"/>
      <c r="L37" s="347"/>
      <c r="N37" s="93"/>
      <c r="O37" s="93"/>
      <c r="P37" s="93"/>
      <c r="Q37" s="93"/>
      <c r="R37" s="93"/>
      <c r="S37" s="93"/>
      <c r="T37" s="93"/>
    </row>
    <row r="38" spans="1:20" s="200" customFormat="1" ht="24" customHeight="1" thickTop="1">
      <c r="A38" s="684" t="s">
        <v>23</v>
      </c>
      <c r="B38" s="686" t="s">
        <v>16</v>
      </c>
      <c r="C38" s="686" t="s">
        <v>32</v>
      </c>
      <c r="D38" s="686" t="s">
        <v>33</v>
      </c>
      <c r="E38" s="687" t="s">
        <v>34</v>
      </c>
      <c r="F38" s="687" t="s">
        <v>35</v>
      </c>
      <c r="G38" s="686" t="s">
        <v>384</v>
      </c>
      <c r="H38" s="686" t="s">
        <v>2</v>
      </c>
      <c r="I38" s="642" t="s">
        <v>68</v>
      </c>
      <c r="J38" s="642" t="s">
        <v>69</v>
      </c>
      <c r="K38" s="642" t="s">
        <v>61</v>
      </c>
      <c r="L38" s="689" t="s">
        <v>3</v>
      </c>
      <c r="N38" s="90"/>
      <c r="O38" s="90"/>
      <c r="P38" s="90"/>
      <c r="Q38" s="90"/>
      <c r="R38" s="90"/>
      <c r="S38" s="90"/>
      <c r="T38" s="90"/>
    </row>
    <row r="39" spans="1:20" s="200" customFormat="1" ht="24" customHeight="1" thickBot="1">
      <c r="A39" s="685"/>
      <c r="B39" s="649"/>
      <c r="C39" s="649"/>
      <c r="D39" s="649"/>
      <c r="E39" s="688"/>
      <c r="F39" s="688"/>
      <c r="G39" s="649"/>
      <c r="H39" s="649"/>
      <c r="I39" s="649"/>
      <c r="J39" s="643"/>
      <c r="K39" s="643"/>
      <c r="L39" s="645"/>
      <c r="N39" s="90"/>
      <c r="O39" s="90"/>
      <c r="P39" s="90"/>
      <c r="Q39" s="90"/>
      <c r="R39" s="90"/>
      <c r="S39" s="90"/>
      <c r="T39" s="90"/>
    </row>
    <row r="40" spans="1:20" ht="29.25" customHeight="1">
      <c r="A40" s="282" t="s">
        <v>41</v>
      </c>
      <c r="B40" s="434"/>
      <c r="C40" s="244">
        <f t="shared" ref="C40:C46" si="24">B40</f>
        <v>0</v>
      </c>
      <c r="D40" s="283">
        <f>SUM(E40:J40)</f>
        <v>0</v>
      </c>
      <c r="E40" s="434"/>
      <c r="F40" s="434"/>
      <c r="G40" s="434"/>
      <c r="H40" s="434"/>
      <c r="I40" s="434"/>
      <c r="J40" s="434"/>
      <c r="K40" s="434"/>
      <c r="L40" s="434"/>
      <c r="N40" s="602" t="str">
        <f>IF(B47='4ابلاغی'!B58," ","مغایرت جمع ستون اعتبار اصلاحی با اعتبار اصلاحی فرم 4 ابلاغی")</f>
        <v xml:space="preserve"> </v>
      </c>
      <c r="O40" s="602"/>
      <c r="P40" s="602"/>
      <c r="Q40" s="602"/>
      <c r="R40" s="602"/>
      <c r="S40" s="602"/>
      <c r="T40" s="602"/>
    </row>
    <row r="41" spans="1:20" ht="29.25" customHeight="1">
      <c r="A41" s="284" t="s">
        <v>42</v>
      </c>
      <c r="B41" s="434"/>
      <c r="C41" s="244">
        <f t="shared" si="24"/>
        <v>0</v>
      </c>
      <c r="D41" s="244">
        <f t="shared" ref="D41:D46" si="25">SUM(E41:J41)</f>
        <v>0</v>
      </c>
      <c r="E41" s="434"/>
      <c r="F41" s="434"/>
      <c r="G41" s="434"/>
      <c r="H41" s="434"/>
      <c r="I41" s="434"/>
      <c r="J41" s="434"/>
      <c r="K41" s="434"/>
      <c r="L41" s="434"/>
      <c r="N41" s="602" t="str">
        <f>IF(D47='4ابلاغی'!D58," ","مغایرت جمع ستون کنترل تخصیص با کنترل تخصیص فرم 4 ابلاغی")</f>
        <v xml:space="preserve"> </v>
      </c>
      <c r="O41" s="602"/>
      <c r="P41" s="602"/>
      <c r="Q41" s="602"/>
      <c r="R41" s="602"/>
      <c r="S41" s="602"/>
      <c r="T41" s="602"/>
    </row>
    <row r="42" spans="1:20" ht="29.25" customHeight="1">
      <c r="A42" s="284" t="s">
        <v>43</v>
      </c>
      <c r="B42" s="434"/>
      <c r="C42" s="409">
        <f t="shared" si="24"/>
        <v>0</v>
      </c>
      <c r="D42" s="244">
        <f t="shared" si="25"/>
        <v>0</v>
      </c>
      <c r="E42" s="434"/>
      <c r="F42" s="434"/>
      <c r="G42" s="434"/>
      <c r="H42" s="434"/>
      <c r="I42" s="434"/>
      <c r="J42" s="434"/>
      <c r="K42" s="434"/>
      <c r="L42" s="434"/>
      <c r="N42" s="602" t="str">
        <f>IF(E47='4ابلاغی'!E58," ","مغایرت جمع ستون هزینه با هزینه فرم 4 ابلاغی")</f>
        <v xml:space="preserve"> </v>
      </c>
      <c r="O42" s="602"/>
      <c r="P42" s="602"/>
      <c r="Q42" s="602"/>
      <c r="R42" s="602"/>
      <c r="S42" s="602"/>
      <c r="T42" s="602"/>
    </row>
    <row r="43" spans="1:20" ht="29.25" customHeight="1">
      <c r="A43" s="285" t="s">
        <v>44</v>
      </c>
      <c r="B43" s="434"/>
      <c r="C43" s="410">
        <f t="shared" si="24"/>
        <v>0</v>
      </c>
      <c r="D43" s="244">
        <f t="shared" si="25"/>
        <v>0</v>
      </c>
      <c r="E43" s="434"/>
      <c r="F43" s="434"/>
      <c r="G43" s="434"/>
      <c r="H43" s="434"/>
      <c r="I43" s="434"/>
      <c r="J43" s="434"/>
      <c r="K43" s="434"/>
      <c r="L43" s="434"/>
      <c r="N43" s="602" t="str">
        <f>IF(F47='4ابلاغی'!F58," ","مغایرت جمع ستون پیش پرداخت با پیش پرداخت فرم 4 ابلاغی")</f>
        <v xml:space="preserve"> </v>
      </c>
      <c r="O43" s="602"/>
      <c r="P43" s="602"/>
      <c r="Q43" s="602"/>
      <c r="R43" s="602"/>
      <c r="S43" s="602"/>
      <c r="T43" s="602"/>
    </row>
    <row r="44" spans="1:20" ht="29.25" customHeight="1">
      <c r="A44" s="285" t="s">
        <v>45</v>
      </c>
      <c r="B44" s="434"/>
      <c r="C44" s="244">
        <f t="shared" si="24"/>
        <v>0</v>
      </c>
      <c r="D44" s="244">
        <f t="shared" si="25"/>
        <v>0</v>
      </c>
      <c r="E44" s="434"/>
      <c r="F44" s="434"/>
      <c r="G44" s="434"/>
      <c r="H44" s="434"/>
      <c r="I44" s="434"/>
      <c r="J44" s="434"/>
      <c r="K44" s="434"/>
      <c r="L44" s="434"/>
      <c r="N44" s="602" t="str">
        <f>IF(H47='4ابلاغی'!H58," ","مغایرت جمع ستون علی الحساب با علی الحساب فرم 4 ابلاغی")</f>
        <v xml:space="preserve"> </v>
      </c>
      <c r="O44" s="602"/>
      <c r="P44" s="602"/>
      <c r="Q44" s="602"/>
      <c r="R44" s="602"/>
      <c r="S44" s="602"/>
      <c r="T44" s="602"/>
    </row>
    <row r="45" spans="1:20" ht="29.25" customHeight="1">
      <c r="A45" s="285" t="s">
        <v>46</v>
      </c>
      <c r="B45" s="434"/>
      <c r="C45" s="409">
        <f t="shared" si="24"/>
        <v>0</v>
      </c>
      <c r="D45" s="244">
        <f t="shared" si="25"/>
        <v>0</v>
      </c>
      <c r="E45" s="434"/>
      <c r="F45" s="434"/>
      <c r="G45" s="434"/>
      <c r="H45" s="434"/>
      <c r="I45" s="434"/>
      <c r="J45" s="434"/>
      <c r="K45" s="434"/>
      <c r="L45" s="434"/>
      <c r="N45" s="602" t="str">
        <f>IF(K47='4ابلاغی'!K58," ","مغایرت جمع ستون واریزی به خزانه با واریزی به خزانه فرم 4 ابلاغی")</f>
        <v xml:space="preserve"> </v>
      </c>
      <c r="O45" s="602"/>
      <c r="P45" s="602"/>
      <c r="Q45" s="602"/>
      <c r="R45" s="602"/>
      <c r="S45" s="602"/>
      <c r="T45" s="602"/>
    </row>
    <row r="46" spans="1:20" ht="29.25" customHeight="1" thickBot="1">
      <c r="A46" s="286" t="s">
        <v>47</v>
      </c>
      <c r="B46" s="434"/>
      <c r="C46" s="245">
        <f t="shared" si="24"/>
        <v>0</v>
      </c>
      <c r="D46" s="245">
        <f t="shared" si="25"/>
        <v>0</v>
      </c>
      <c r="E46" s="434"/>
      <c r="F46" s="434"/>
      <c r="G46" s="434"/>
      <c r="H46" s="434"/>
      <c r="I46" s="434"/>
      <c r="J46" s="434"/>
      <c r="K46" s="434"/>
      <c r="L46" s="434"/>
      <c r="N46" s="602" t="str">
        <f>IF(L47='4ابلاغی'!L58," ","مغایرت جمع ستون انتقالی با انتقالی فرم 4 ابلاغی")</f>
        <v xml:space="preserve"> </v>
      </c>
      <c r="O46" s="602"/>
      <c r="P46" s="602"/>
      <c r="Q46" s="602"/>
      <c r="R46" s="602"/>
      <c r="S46" s="602"/>
      <c r="T46" s="602"/>
    </row>
    <row r="47" spans="1:20" ht="33" customHeight="1" thickBot="1">
      <c r="A47" s="280" t="s">
        <v>7</v>
      </c>
      <c r="B47" s="355">
        <f>SUM(B40:B46)</f>
        <v>0</v>
      </c>
      <c r="C47" s="355">
        <f t="shared" ref="C47" si="26">SUM(C40:C46)</f>
        <v>0</v>
      </c>
      <c r="D47" s="355">
        <f t="shared" ref="D47" si="27">SUM(D40:D46)</f>
        <v>0</v>
      </c>
      <c r="E47" s="355">
        <f t="shared" ref="E47" si="28">SUM(E40:E46)</f>
        <v>0</v>
      </c>
      <c r="F47" s="355">
        <f t="shared" ref="F47" si="29">SUM(F40:F46)</f>
        <v>0</v>
      </c>
      <c r="G47" s="355">
        <f t="shared" ref="G47" si="30">SUM(G40:G46)</f>
        <v>0</v>
      </c>
      <c r="H47" s="355">
        <f t="shared" ref="H47" si="31">SUM(H40:H46)</f>
        <v>0</v>
      </c>
      <c r="I47" s="355">
        <f t="shared" ref="I47" si="32">SUM(I40:I46)</f>
        <v>0</v>
      </c>
      <c r="J47" s="355">
        <f t="shared" ref="J47" si="33">SUM(J40:J46)</f>
        <v>0</v>
      </c>
      <c r="K47" s="355">
        <f t="shared" ref="K47" si="34">SUM(K40:K46)</f>
        <v>0</v>
      </c>
      <c r="L47" s="75">
        <f t="shared" ref="L47" si="35">SUM(L40:L46)</f>
        <v>0</v>
      </c>
      <c r="M47" s="168"/>
      <c r="N47" s="602"/>
      <c r="O47" s="602"/>
      <c r="P47" s="602"/>
      <c r="Q47" s="602"/>
      <c r="R47" s="602"/>
      <c r="S47" s="602"/>
      <c r="T47" s="602"/>
    </row>
    <row r="48" spans="1:20" s="200" customFormat="1" ht="42.75" customHeight="1" thickTop="1">
      <c r="A48" s="671" t="s">
        <v>21</v>
      </c>
      <c r="B48" s="671"/>
      <c r="C48" s="240">
        <f>'صفحه اصلی'!C10</f>
        <v>0</v>
      </c>
      <c r="D48" s="671" t="s">
        <v>8</v>
      </c>
      <c r="E48" s="671"/>
      <c r="F48" s="239">
        <f>'صفحه اصلی'!C11</f>
        <v>0</v>
      </c>
      <c r="G48" s="349"/>
      <c r="H48" s="348" t="s">
        <v>9</v>
      </c>
      <c r="I48" s="240">
        <f>'صفحه اصلی'!C12</f>
        <v>0</v>
      </c>
      <c r="J48" s="348"/>
      <c r="K48" s="360" t="s">
        <v>10</v>
      </c>
      <c r="L48" s="352">
        <f>'صفحه اصلی'!C13</f>
        <v>0</v>
      </c>
      <c r="N48" s="90"/>
      <c r="O48" s="90"/>
      <c r="P48" s="90"/>
      <c r="Q48" s="90"/>
      <c r="R48" s="90"/>
      <c r="S48" s="90"/>
      <c r="T48" s="90"/>
    </row>
    <row r="49" spans="1:20" ht="30" customHeight="1" thickBot="1">
      <c r="A49" s="587" t="s">
        <v>19</v>
      </c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266" t="s">
        <v>39</v>
      </c>
    </row>
    <row r="50" spans="1:20" ht="30.75" customHeight="1" thickTop="1" thickBot="1">
      <c r="A50" s="582" t="s">
        <v>391</v>
      </c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4"/>
    </row>
    <row r="51" spans="1:20" ht="28.5" customHeight="1" thickBot="1">
      <c r="A51" s="203" t="s">
        <v>11</v>
      </c>
      <c r="B51" s="680"/>
      <c r="C51" s="680"/>
      <c r="D51" s="680"/>
      <c r="E51" s="680"/>
      <c r="F51" s="680"/>
      <c r="G51" s="680"/>
      <c r="H51" s="680"/>
      <c r="I51" s="680"/>
      <c r="J51" s="680"/>
      <c r="K51" s="680"/>
      <c r="L51" s="681"/>
    </row>
    <row r="52" spans="1:20" s="4" customFormat="1" ht="38.25" customHeight="1" thickTop="1">
      <c r="A52" s="646" t="s">
        <v>40</v>
      </c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N52" s="92"/>
      <c r="O52" s="92"/>
      <c r="P52" s="92"/>
      <c r="Q52" s="92"/>
      <c r="R52" s="92"/>
      <c r="S52" s="92"/>
      <c r="T52" s="92"/>
    </row>
    <row r="53" spans="1:20" s="67" customFormat="1" ht="30" customHeight="1">
      <c r="A53" s="611" t="s">
        <v>0</v>
      </c>
      <c r="B53" s="611"/>
      <c r="C53" s="241">
        <f>'صفحه اصلی'!C7</f>
        <v>0</v>
      </c>
      <c r="D53" s="241"/>
      <c r="E53" s="241"/>
      <c r="F53" s="241"/>
      <c r="G53" s="241"/>
      <c r="H53" s="241"/>
      <c r="I53" s="241"/>
      <c r="J53" s="241"/>
      <c r="K53" s="241"/>
      <c r="L53" s="241"/>
      <c r="N53" s="93"/>
      <c r="O53" s="93"/>
      <c r="P53" s="93"/>
      <c r="Q53" s="93"/>
      <c r="R53" s="93"/>
      <c r="S53" s="93"/>
      <c r="T53" s="93"/>
    </row>
    <row r="54" spans="1:20" s="67" customFormat="1" ht="31.5" customHeight="1" thickBot="1">
      <c r="A54" s="612" t="s">
        <v>1</v>
      </c>
      <c r="B54" s="612"/>
      <c r="C54" s="359">
        <f>'صفحه اصلی'!C8</f>
        <v>0</v>
      </c>
      <c r="D54" s="356" t="s">
        <v>31</v>
      </c>
      <c r="E54" s="411">
        <f>'4ابلاغی'!E65</f>
        <v>0</v>
      </c>
      <c r="F54" s="408"/>
      <c r="G54" s="356" t="s">
        <v>53</v>
      </c>
      <c r="H54" s="359">
        <f>'صفحه اصلی'!C9</f>
        <v>0</v>
      </c>
      <c r="I54" s="359"/>
      <c r="J54" s="359"/>
      <c r="K54" s="359"/>
      <c r="L54" s="347"/>
      <c r="N54" s="93"/>
      <c r="O54" s="93"/>
      <c r="P54" s="93"/>
      <c r="Q54" s="93"/>
      <c r="R54" s="93"/>
      <c r="S54" s="93"/>
      <c r="T54" s="93"/>
    </row>
    <row r="55" spans="1:20" s="200" customFormat="1" ht="24" customHeight="1" thickTop="1">
      <c r="A55" s="684" t="s">
        <v>23</v>
      </c>
      <c r="B55" s="686" t="s">
        <v>16</v>
      </c>
      <c r="C55" s="686" t="s">
        <v>32</v>
      </c>
      <c r="D55" s="686" t="s">
        <v>33</v>
      </c>
      <c r="E55" s="687" t="s">
        <v>34</v>
      </c>
      <c r="F55" s="687" t="s">
        <v>35</v>
      </c>
      <c r="G55" s="686" t="s">
        <v>384</v>
      </c>
      <c r="H55" s="686" t="s">
        <v>2</v>
      </c>
      <c r="I55" s="642" t="s">
        <v>68</v>
      </c>
      <c r="J55" s="642" t="s">
        <v>69</v>
      </c>
      <c r="K55" s="642" t="s">
        <v>61</v>
      </c>
      <c r="L55" s="689" t="s">
        <v>3</v>
      </c>
      <c r="N55" s="90"/>
      <c r="O55" s="90"/>
      <c r="P55" s="90"/>
      <c r="Q55" s="90"/>
      <c r="R55" s="90"/>
      <c r="S55" s="90"/>
      <c r="T55" s="90"/>
    </row>
    <row r="56" spans="1:20" s="200" customFormat="1" ht="24" customHeight="1" thickBot="1">
      <c r="A56" s="685"/>
      <c r="B56" s="649"/>
      <c r="C56" s="649"/>
      <c r="D56" s="649"/>
      <c r="E56" s="688"/>
      <c r="F56" s="688"/>
      <c r="G56" s="649"/>
      <c r="H56" s="649"/>
      <c r="I56" s="649"/>
      <c r="J56" s="643"/>
      <c r="K56" s="643"/>
      <c r="L56" s="645"/>
      <c r="N56" s="90"/>
      <c r="O56" s="90"/>
      <c r="P56" s="90"/>
      <c r="Q56" s="90"/>
      <c r="R56" s="90"/>
      <c r="S56" s="90"/>
      <c r="T56" s="90"/>
    </row>
    <row r="57" spans="1:20" ht="29.25" customHeight="1">
      <c r="A57" s="282" t="s">
        <v>41</v>
      </c>
      <c r="B57" s="434"/>
      <c r="C57" s="412">
        <f t="shared" ref="C57:C63" si="36">B57</f>
        <v>0</v>
      </c>
      <c r="D57" s="407">
        <f>SUM(E57:J57)</f>
        <v>0</v>
      </c>
      <c r="E57" s="434"/>
      <c r="F57" s="434"/>
      <c r="G57" s="434"/>
      <c r="H57" s="434"/>
      <c r="I57" s="434"/>
      <c r="J57" s="434"/>
      <c r="K57" s="434"/>
      <c r="L57" s="434"/>
      <c r="N57" s="602" t="str">
        <f>IF(B64='4ابلاغی'!B76," ","مغایرت جمع ستون اعتبار اصلاحی با اعتبار اصلاحی فرم 4 ابلاغی")</f>
        <v xml:space="preserve"> </v>
      </c>
      <c r="O57" s="602"/>
      <c r="P57" s="602"/>
      <c r="Q57" s="602"/>
      <c r="R57" s="602"/>
      <c r="S57" s="602"/>
      <c r="T57" s="602"/>
    </row>
    <row r="58" spans="1:20" ht="29.25" customHeight="1">
      <c r="A58" s="284" t="s">
        <v>42</v>
      </c>
      <c r="B58" s="434"/>
      <c r="C58" s="412">
        <f t="shared" si="36"/>
        <v>0</v>
      </c>
      <c r="D58" s="412">
        <f t="shared" ref="D58:D63" si="37">SUM(E58:J58)</f>
        <v>0</v>
      </c>
      <c r="E58" s="434"/>
      <c r="F58" s="434"/>
      <c r="G58" s="434"/>
      <c r="H58" s="434"/>
      <c r="I58" s="434"/>
      <c r="J58" s="434"/>
      <c r="K58" s="434"/>
      <c r="L58" s="434"/>
      <c r="N58" s="602" t="str">
        <f>IF(D64='4ابلاغی'!D76," ","مغایرت جمع ستون کنترل تخصیص با کنترل تخصیص فرم 4 ابلاغی")</f>
        <v xml:space="preserve"> </v>
      </c>
      <c r="O58" s="602"/>
      <c r="P58" s="602"/>
      <c r="Q58" s="602"/>
      <c r="R58" s="602"/>
      <c r="S58" s="602"/>
      <c r="T58" s="602"/>
    </row>
    <row r="59" spans="1:20" ht="29.25" customHeight="1">
      <c r="A59" s="284" t="s">
        <v>43</v>
      </c>
      <c r="B59" s="434"/>
      <c r="C59" s="413">
        <f t="shared" si="36"/>
        <v>0</v>
      </c>
      <c r="D59" s="412">
        <f t="shared" si="37"/>
        <v>0</v>
      </c>
      <c r="E59" s="434"/>
      <c r="F59" s="434"/>
      <c r="G59" s="434"/>
      <c r="H59" s="434"/>
      <c r="I59" s="434"/>
      <c r="J59" s="434"/>
      <c r="K59" s="434"/>
      <c r="L59" s="434"/>
      <c r="N59" s="602" t="str">
        <f>IF(E64='4ابلاغی'!E76," ","مغایرت جمع ستون هزینه با هزینه فرم 4 ابلاغی")</f>
        <v xml:space="preserve"> </v>
      </c>
      <c r="O59" s="602"/>
      <c r="P59" s="602"/>
      <c r="Q59" s="602"/>
      <c r="R59" s="602"/>
      <c r="S59" s="602"/>
      <c r="T59" s="602"/>
    </row>
    <row r="60" spans="1:20" ht="29.25" customHeight="1">
      <c r="A60" s="285" t="s">
        <v>44</v>
      </c>
      <c r="B60" s="434"/>
      <c r="C60" s="414">
        <f t="shared" si="36"/>
        <v>0</v>
      </c>
      <c r="D60" s="412">
        <f t="shared" si="37"/>
        <v>0</v>
      </c>
      <c r="E60" s="434"/>
      <c r="F60" s="434"/>
      <c r="G60" s="434"/>
      <c r="H60" s="434"/>
      <c r="I60" s="434"/>
      <c r="J60" s="434"/>
      <c r="K60" s="434"/>
      <c r="L60" s="434"/>
      <c r="N60" s="602" t="str">
        <f>IF(F64='4ابلاغی'!F76," ","مغایرت جمع ستون پیش پرداخت با پیش پرداخت فرم 4 ابلاغی")</f>
        <v xml:space="preserve"> </v>
      </c>
      <c r="O60" s="602"/>
      <c r="P60" s="602"/>
      <c r="Q60" s="602"/>
      <c r="R60" s="602"/>
      <c r="S60" s="602"/>
      <c r="T60" s="602"/>
    </row>
    <row r="61" spans="1:20" ht="29.25" customHeight="1">
      <c r="A61" s="285" t="s">
        <v>45</v>
      </c>
      <c r="B61" s="434"/>
      <c r="C61" s="412">
        <f t="shared" si="36"/>
        <v>0</v>
      </c>
      <c r="D61" s="412">
        <f t="shared" si="37"/>
        <v>0</v>
      </c>
      <c r="E61" s="434"/>
      <c r="F61" s="434"/>
      <c r="G61" s="434"/>
      <c r="H61" s="434"/>
      <c r="I61" s="434"/>
      <c r="J61" s="434"/>
      <c r="K61" s="434"/>
      <c r="L61" s="434"/>
      <c r="N61" s="602" t="str">
        <f>IF(H64='4ابلاغی'!H76," ","مغایرت جمع ستون علی الحساب با علی الحساب فرم 4 ابلاغی")</f>
        <v xml:space="preserve"> </v>
      </c>
      <c r="O61" s="602"/>
      <c r="P61" s="602"/>
      <c r="Q61" s="602"/>
      <c r="R61" s="602"/>
      <c r="S61" s="602"/>
      <c r="T61" s="602"/>
    </row>
    <row r="62" spans="1:20" ht="29.25" customHeight="1">
      <c r="A62" s="285" t="s">
        <v>46</v>
      </c>
      <c r="B62" s="434"/>
      <c r="C62" s="413">
        <f t="shared" si="36"/>
        <v>0</v>
      </c>
      <c r="D62" s="412">
        <f t="shared" si="37"/>
        <v>0</v>
      </c>
      <c r="E62" s="434"/>
      <c r="F62" s="434"/>
      <c r="G62" s="434"/>
      <c r="H62" s="434"/>
      <c r="I62" s="434"/>
      <c r="J62" s="434"/>
      <c r="K62" s="434"/>
      <c r="L62" s="434"/>
      <c r="N62" s="602" t="str">
        <f>IF(K64='4ابلاغی'!K76," ","مغایرت جمع ستون واریزی به خزانه با واریزی به خزانه فرم 4 ابلاغی")</f>
        <v xml:space="preserve"> </v>
      </c>
      <c r="O62" s="602"/>
      <c r="P62" s="602"/>
      <c r="Q62" s="602"/>
      <c r="R62" s="602"/>
      <c r="S62" s="602"/>
      <c r="T62" s="602"/>
    </row>
    <row r="63" spans="1:20" ht="29.25" customHeight="1" thickBot="1">
      <c r="A63" s="286" t="s">
        <v>47</v>
      </c>
      <c r="B63" s="434"/>
      <c r="C63" s="229">
        <f t="shared" si="36"/>
        <v>0</v>
      </c>
      <c r="D63" s="229">
        <f t="shared" si="37"/>
        <v>0</v>
      </c>
      <c r="E63" s="434"/>
      <c r="F63" s="434"/>
      <c r="G63" s="434"/>
      <c r="H63" s="434"/>
      <c r="I63" s="434"/>
      <c r="J63" s="434"/>
      <c r="K63" s="434"/>
      <c r="L63" s="434"/>
      <c r="N63" s="602" t="str">
        <f>IF(L64='4ابلاغی'!L76," ","مغایرت جمع ستون انتقالی با انتقالی فرم 4 ابلاغی")</f>
        <v xml:space="preserve"> </v>
      </c>
      <c r="O63" s="602"/>
      <c r="P63" s="602"/>
      <c r="Q63" s="602"/>
      <c r="R63" s="602"/>
      <c r="S63" s="602"/>
      <c r="T63" s="602"/>
    </row>
    <row r="64" spans="1:20" ht="33" customHeight="1" thickBot="1">
      <c r="A64" s="280" t="s">
        <v>7</v>
      </c>
      <c r="B64" s="355">
        <f>SUM(B57:B63)</f>
        <v>0</v>
      </c>
      <c r="C64" s="355">
        <f t="shared" ref="C64" si="38">SUM(C57:C63)</f>
        <v>0</v>
      </c>
      <c r="D64" s="355">
        <f t="shared" ref="D64" si="39">SUM(D57:D63)</f>
        <v>0</v>
      </c>
      <c r="E64" s="355">
        <f t="shared" ref="E64" si="40">SUM(E57:E63)</f>
        <v>0</v>
      </c>
      <c r="F64" s="355">
        <f t="shared" ref="F64" si="41">SUM(F57:F63)</f>
        <v>0</v>
      </c>
      <c r="G64" s="355">
        <f t="shared" ref="G64" si="42">SUM(G57:G63)</f>
        <v>0</v>
      </c>
      <c r="H64" s="355">
        <f t="shared" ref="H64" si="43">SUM(H57:H63)</f>
        <v>0</v>
      </c>
      <c r="I64" s="355">
        <f t="shared" ref="I64" si="44">SUM(I57:I63)</f>
        <v>0</v>
      </c>
      <c r="J64" s="355">
        <f t="shared" ref="J64" si="45">SUM(J57:J63)</f>
        <v>0</v>
      </c>
      <c r="K64" s="355">
        <f t="shared" ref="K64" si="46">SUM(K57:K63)</f>
        <v>0</v>
      </c>
      <c r="L64" s="75">
        <f t="shared" ref="L64" si="47">SUM(L57:L63)</f>
        <v>0</v>
      </c>
      <c r="M64" s="168"/>
      <c r="N64" s="602"/>
      <c r="O64" s="602"/>
      <c r="P64" s="602"/>
      <c r="Q64" s="602"/>
      <c r="R64" s="602"/>
      <c r="S64" s="602"/>
      <c r="T64" s="602"/>
    </row>
    <row r="65" spans="1:20" s="200" customFormat="1" ht="42.75" customHeight="1" thickTop="1">
      <c r="A65" s="671" t="s">
        <v>21</v>
      </c>
      <c r="B65" s="671"/>
      <c r="C65" s="240">
        <f>'صفحه اصلی'!C10</f>
        <v>0</v>
      </c>
      <c r="D65" s="671" t="s">
        <v>8</v>
      </c>
      <c r="E65" s="671"/>
      <c r="F65" s="239">
        <f>'صفحه اصلی'!C11</f>
        <v>0</v>
      </c>
      <c r="G65" s="349"/>
      <c r="H65" s="348" t="s">
        <v>9</v>
      </c>
      <c r="I65" s="240">
        <f>'صفحه اصلی'!C12</f>
        <v>0</v>
      </c>
      <c r="J65" s="348"/>
      <c r="K65" s="360" t="s">
        <v>10</v>
      </c>
      <c r="L65" s="352">
        <f>'صفحه اصلی'!C13</f>
        <v>0</v>
      </c>
      <c r="N65" s="90"/>
      <c r="O65" s="90"/>
      <c r="P65" s="90"/>
      <c r="Q65" s="90"/>
      <c r="R65" s="90"/>
      <c r="S65" s="90"/>
      <c r="T65" s="90"/>
    </row>
    <row r="66" spans="1:20" ht="30" customHeight="1" thickBot="1">
      <c r="A66" s="587" t="s">
        <v>19</v>
      </c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266" t="s">
        <v>39</v>
      </c>
    </row>
    <row r="67" spans="1:20" ht="30.75" customHeight="1" thickTop="1" thickBot="1">
      <c r="A67" s="582" t="s">
        <v>391</v>
      </c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4"/>
    </row>
    <row r="68" spans="1:20" ht="28.5" customHeight="1" thickBot="1">
      <c r="A68" s="203" t="s">
        <v>11</v>
      </c>
      <c r="B68" s="680"/>
      <c r="C68" s="680"/>
      <c r="D68" s="680"/>
      <c r="E68" s="680"/>
      <c r="F68" s="680"/>
      <c r="G68" s="680"/>
      <c r="H68" s="680"/>
      <c r="I68" s="680"/>
      <c r="J68" s="680"/>
      <c r="K68" s="680"/>
      <c r="L68" s="681"/>
    </row>
    <row r="69" spans="1:20" s="4" customFormat="1" ht="38.25" customHeight="1" thickTop="1">
      <c r="A69" s="646" t="s">
        <v>40</v>
      </c>
      <c r="B69" s="646"/>
      <c r="C69" s="646"/>
      <c r="D69" s="646"/>
      <c r="E69" s="646"/>
      <c r="F69" s="646"/>
      <c r="G69" s="646"/>
      <c r="H69" s="646"/>
      <c r="I69" s="646"/>
      <c r="J69" s="646"/>
      <c r="K69" s="646"/>
      <c r="L69" s="646"/>
      <c r="N69" s="92"/>
      <c r="O69" s="92"/>
      <c r="P69" s="92"/>
      <c r="Q69" s="92"/>
      <c r="R69" s="92"/>
      <c r="S69" s="92"/>
      <c r="T69" s="92"/>
    </row>
    <row r="70" spans="1:20" s="67" customFormat="1" ht="30" customHeight="1">
      <c r="A70" s="611" t="s">
        <v>0</v>
      </c>
      <c r="B70" s="611"/>
      <c r="C70" s="241">
        <f>'صفحه اصلی'!C7</f>
        <v>0</v>
      </c>
      <c r="D70" s="241"/>
      <c r="E70" s="241"/>
      <c r="F70" s="241"/>
      <c r="G70" s="241"/>
      <c r="H70" s="241"/>
      <c r="I70" s="241"/>
      <c r="J70" s="241"/>
      <c r="K70" s="241"/>
      <c r="L70" s="241"/>
      <c r="N70" s="93"/>
      <c r="O70" s="93"/>
      <c r="P70" s="93"/>
      <c r="Q70" s="93"/>
      <c r="R70" s="93"/>
      <c r="S70" s="93"/>
      <c r="T70" s="93"/>
    </row>
    <row r="71" spans="1:20" s="67" customFormat="1" ht="31.5" customHeight="1" thickBot="1">
      <c r="A71" s="612" t="s">
        <v>1</v>
      </c>
      <c r="B71" s="612"/>
      <c r="C71" s="359">
        <f>'صفحه اصلی'!C8</f>
        <v>0</v>
      </c>
      <c r="D71" s="356" t="s">
        <v>31</v>
      </c>
      <c r="E71" s="290">
        <f>'4ابلاغی'!E83</f>
        <v>0</v>
      </c>
      <c r="F71" s="408"/>
      <c r="G71" s="356" t="s">
        <v>53</v>
      </c>
      <c r="H71" s="359">
        <f>'صفحه اصلی'!C9</f>
        <v>0</v>
      </c>
      <c r="I71" s="359"/>
      <c r="J71" s="359"/>
      <c r="K71" s="359"/>
      <c r="L71" s="347"/>
      <c r="N71" s="93"/>
      <c r="O71" s="93"/>
      <c r="P71" s="93"/>
      <c r="Q71" s="93"/>
      <c r="R71" s="93"/>
      <c r="S71" s="93"/>
      <c r="T71" s="93"/>
    </row>
    <row r="72" spans="1:20" s="200" customFormat="1" ht="24" customHeight="1" thickTop="1">
      <c r="A72" s="647" t="s">
        <v>23</v>
      </c>
      <c r="B72" s="642" t="s">
        <v>16</v>
      </c>
      <c r="C72" s="642" t="s">
        <v>32</v>
      </c>
      <c r="D72" s="642" t="s">
        <v>33</v>
      </c>
      <c r="E72" s="642" t="s">
        <v>34</v>
      </c>
      <c r="F72" s="642" t="s">
        <v>35</v>
      </c>
      <c r="G72" s="642" t="s">
        <v>384</v>
      </c>
      <c r="H72" s="642" t="s">
        <v>2</v>
      </c>
      <c r="I72" s="642" t="s">
        <v>68</v>
      </c>
      <c r="J72" s="642" t="s">
        <v>69</v>
      </c>
      <c r="K72" s="642" t="s">
        <v>61</v>
      </c>
      <c r="L72" s="644" t="s">
        <v>3</v>
      </c>
      <c r="N72" s="90"/>
      <c r="O72" s="90"/>
      <c r="P72" s="90"/>
      <c r="Q72" s="90"/>
      <c r="R72" s="90"/>
      <c r="S72" s="90"/>
      <c r="T72" s="90"/>
    </row>
    <row r="73" spans="1:20" s="200" customFormat="1" ht="24" customHeight="1" thickBot="1">
      <c r="A73" s="685"/>
      <c r="B73" s="649"/>
      <c r="C73" s="649"/>
      <c r="D73" s="649"/>
      <c r="E73" s="649"/>
      <c r="F73" s="649"/>
      <c r="G73" s="649"/>
      <c r="H73" s="649"/>
      <c r="I73" s="649"/>
      <c r="J73" s="649"/>
      <c r="K73" s="649"/>
      <c r="L73" s="645"/>
      <c r="N73" s="90"/>
      <c r="O73" s="90"/>
      <c r="P73" s="90"/>
      <c r="Q73" s="90"/>
      <c r="R73" s="90"/>
      <c r="S73" s="90"/>
      <c r="T73" s="90"/>
    </row>
    <row r="74" spans="1:20" ht="29.25" customHeight="1">
      <c r="A74" s="282" t="s">
        <v>41</v>
      </c>
      <c r="B74" s="434"/>
      <c r="C74" s="412">
        <f t="shared" ref="C74:C80" si="48">B74</f>
        <v>0</v>
      </c>
      <c r="D74" s="407">
        <f>SUM(E74:J74)</f>
        <v>0</v>
      </c>
      <c r="E74" s="434"/>
      <c r="F74" s="434"/>
      <c r="G74" s="434"/>
      <c r="H74" s="434"/>
      <c r="I74" s="434"/>
      <c r="J74" s="434"/>
      <c r="K74" s="434"/>
      <c r="L74" s="434"/>
      <c r="N74" s="602" t="str">
        <f>IF(B81='4ابلاغی'!B94," ","مغایرت جمع ستون اعتبار اصلاحی با اعتبار اصلاحی فرم 4 ابلاغی")</f>
        <v xml:space="preserve"> </v>
      </c>
      <c r="O74" s="602"/>
      <c r="P74" s="602"/>
      <c r="Q74" s="602"/>
      <c r="R74" s="602"/>
      <c r="S74" s="602"/>
      <c r="T74" s="602"/>
    </row>
    <row r="75" spans="1:20" ht="29.25" customHeight="1">
      <c r="A75" s="284" t="s">
        <v>42</v>
      </c>
      <c r="B75" s="434"/>
      <c r="C75" s="412">
        <f t="shared" si="48"/>
        <v>0</v>
      </c>
      <c r="D75" s="412">
        <f t="shared" ref="D75:D80" si="49">SUM(E75:J75)</f>
        <v>0</v>
      </c>
      <c r="E75" s="434"/>
      <c r="F75" s="434"/>
      <c r="G75" s="434"/>
      <c r="H75" s="434"/>
      <c r="I75" s="434"/>
      <c r="J75" s="434"/>
      <c r="K75" s="434"/>
      <c r="L75" s="434"/>
      <c r="N75" s="602" t="str">
        <f>IF(D81='4ابلاغی'!D94," ","مغایرت جمع ستون کنترل تخصیص با کنترل تخصیص فرم 4 ابلاغی")</f>
        <v xml:space="preserve"> </v>
      </c>
      <c r="O75" s="602"/>
      <c r="P75" s="602"/>
      <c r="Q75" s="602"/>
      <c r="R75" s="602"/>
      <c r="S75" s="602"/>
      <c r="T75" s="602"/>
    </row>
    <row r="76" spans="1:20" ht="29.25" customHeight="1">
      <c r="A76" s="284" t="s">
        <v>43</v>
      </c>
      <c r="B76" s="434"/>
      <c r="C76" s="413">
        <f t="shared" si="48"/>
        <v>0</v>
      </c>
      <c r="D76" s="412">
        <f t="shared" si="49"/>
        <v>0</v>
      </c>
      <c r="E76" s="434"/>
      <c r="F76" s="434"/>
      <c r="G76" s="434"/>
      <c r="H76" s="434"/>
      <c r="I76" s="434"/>
      <c r="J76" s="434"/>
      <c r="K76" s="434"/>
      <c r="L76" s="434"/>
      <c r="N76" s="602" t="str">
        <f>IF(E81='4ابلاغی'!E94," ","مغایرت جمع ستون هزینه با هزینه فرم 4 ابلاغی")</f>
        <v xml:space="preserve"> </v>
      </c>
      <c r="O76" s="602"/>
      <c r="P76" s="602"/>
      <c r="Q76" s="602"/>
      <c r="R76" s="602"/>
      <c r="S76" s="602"/>
      <c r="T76" s="602"/>
    </row>
    <row r="77" spans="1:20" ht="29.25" customHeight="1">
      <c r="A77" s="285" t="s">
        <v>44</v>
      </c>
      <c r="B77" s="434"/>
      <c r="C77" s="414">
        <f t="shared" si="48"/>
        <v>0</v>
      </c>
      <c r="D77" s="412">
        <f t="shared" si="49"/>
        <v>0</v>
      </c>
      <c r="E77" s="434"/>
      <c r="F77" s="434"/>
      <c r="G77" s="434"/>
      <c r="H77" s="434"/>
      <c r="I77" s="434"/>
      <c r="J77" s="434"/>
      <c r="K77" s="434"/>
      <c r="L77" s="434"/>
      <c r="N77" s="602" t="str">
        <f>IF(F81='4ابلاغی'!F94," ","مغایرت جمع ستون پیش پرداخت با پیش پرداخت فرم 4 ابلاغی")</f>
        <v xml:space="preserve"> </v>
      </c>
      <c r="O77" s="602"/>
      <c r="P77" s="602"/>
      <c r="Q77" s="602"/>
      <c r="R77" s="602"/>
      <c r="S77" s="602"/>
      <c r="T77" s="602"/>
    </row>
    <row r="78" spans="1:20" ht="29.25" customHeight="1">
      <c r="A78" s="285" t="s">
        <v>45</v>
      </c>
      <c r="B78" s="434"/>
      <c r="C78" s="412">
        <f t="shared" si="48"/>
        <v>0</v>
      </c>
      <c r="D78" s="412">
        <f t="shared" si="49"/>
        <v>0</v>
      </c>
      <c r="E78" s="434"/>
      <c r="F78" s="434"/>
      <c r="G78" s="434"/>
      <c r="H78" s="434"/>
      <c r="I78" s="434"/>
      <c r="J78" s="434"/>
      <c r="K78" s="434"/>
      <c r="L78" s="434"/>
      <c r="N78" s="602" t="str">
        <f>IF(H81='4ابلاغی'!H94," ","مغایرت جمع ستون علی الحساب با علی الحساب فرم 4 ابلاغی")</f>
        <v xml:space="preserve"> </v>
      </c>
      <c r="O78" s="602"/>
      <c r="P78" s="602"/>
      <c r="Q78" s="602"/>
      <c r="R78" s="602"/>
      <c r="S78" s="602"/>
      <c r="T78" s="602"/>
    </row>
    <row r="79" spans="1:20" ht="29.25" customHeight="1">
      <c r="A79" s="285" t="s">
        <v>46</v>
      </c>
      <c r="B79" s="434"/>
      <c r="C79" s="413">
        <f t="shared" si="48"/>
        <v>0</v>
      </c>
      <c r="D79" s="412">
        <f t="shared" si="49"/>
        <v>0</v>
      </c>
      <c r="E79" s="434"/>
      <c r="F79" s="434"/>
      <c r="G79" s="434"/>
      <c r="H79" s="434"/>
      <c r="I79" s="434"/>
      <c r="J79" s="434"/>
      <c r="K79" s="434"/>
      <c r="L79" s="434"/>
      <c r="N79" s="602" t="str">
        <f>IF(K81='4ابلاغی'!K94," ","مغایرت جمع ستون واریزی به خزانه با واریزی به خزانه فرم 4 ابلاغی")</f>
        <v xml:space="preserve"> </v>
      </c>
      <c r="O79" s="602"/>
      <c r="P79" s="602"/>
      <c r="Q79" s="602"/>
      <c r="R79" s="602"/>
      <c r="S79" s="602"/>
      <c r="T79" s="602"/>
    </row>
    <row r="80" spans="1:20" ht="29.25" customHeight="1" thickBot="1">
      <c r="A80" s="286" t="s">
        <v>47</v>
      </c>
      <c r="B80" s="434"/>
      <c r="C80" s="229">
        <f t="shared" si="48"/>
        <v>0</v>
      </c>
      <c r="D80" s="229">
        <f t="shared" si="49"/>
        <v>0</v>
      </c>
      <c r="E80" s="434"/>
      <c r="F80" s="434"/>
      <c r="G80" s="434"/>
      <c r="H80" s="434"/>
      <c r="I80" s="434"/>
      <c r="J80" s="434"/>
      <c r="K80" s="434"/>
      <c r="L80" s="434"/>
      <c r="N80" s="602" t="str">
        <f>IF(L81='4ابلاغی'!L94," ","مغایرت جمع ستون انتقالی با انتقالی فرم 4 ابلاغی")</f>
        <v xml:space="preserve"> </v>
      </c>
      <c r="O80" s="602"/>
      <c r="P80" s="602"/>
      <c r="Q80" s="602"/>
      <c r="R80" s="602"/>
      <c r="S80" s="602"/>
      <c r="T80" s="602"/>
    </row>
    <row r="81" spans="1:20" ht="33" customHeight="1" thickBot="1">
      <c r="A81" s="280" t="s">
        <v>7</v>
      </c>
      <c r="B81" s="355">
        <f>SUM(B74:B80)</f>
        <v>0</v>
      </c>
      <c r="C81" s="355">
        <f t="shared" ref="C81" si="50">SUM(C74:C80)</f>
        <v>0</v>
      </c>
      <c r="D81" s="355">
        <f t="shared" ref="D81" si="51">SUM(D74:D80)</f>
        <v>0</v>
      </c>
      <c r="E81" s="355">
        <f t="shared" ref="E81" si="52">SUM(E74:E80)</f>
        <v>0</v>
      </c>
      <c r="F81" s="355">
        <f t="shared" ref="F81" si="53">SUM(F74:F80)</f>
        <v>0</v>
      </c>
      <c r="G81" s="355">
        <f t="shared" ref="G81" si="54">SUM(G74:G80)</f>
        <v>0</v>
      </c>
      <c r="H81" s="355">
        <f t="shared" ref="H81" si="55">SUM(H74:H80)</f>
        <v>0</v>
      </c>
      <c r="I81" s="355">
        <f t="shared" ref="I81" si="56">SUM(I74:I80)</f>
        <v>0</v>
      </c>
      <c r="J81" s="355">
        <f t="shared" ref="J81" si="57">SUM(J74:J80)</f>
        <v>0</v>
      </c>
      <c r="K81" s="355">
        <f t="shared" ref="K81" si="58">SUM(K74:K80)</f>
        <v>0</v>
      </c>
      <c r="L81" s="75">
        <f t="shared" ref="L81" si="59">SUM(L74:L80)</f>
        <v>0</v>
      </c>
      <c r="M81" s="168"/>
      <c r="N81" s="602"/>
      <c r="O81" s="602"/>
      <c r="P81" s="602"/>
      <c r="Q81" s="602"/>
      <c r="R81" s="602"/>
      <c r="S81" s="602"/>
      <c r="T81" s="602"/>
    </row>
    <row r="82" spans="1:20" s="200" customFormat="1" ht="42.75" customHeight="1" thickTop="1">
      <c r="A82" s="671" t="s">
        <v>21</v>
      </c>
      <c r="B82" s="671"/>
      <c r="C82" s="240">
        <f>'صفحه اصلی'!C10</f>
        <v>0</v>
      </c>
      <c r="D82" s="671" t="s">
        <v>8</v>
      </c>
      <c r="E82" s="671"/>
      <c r="F82" s="239">
        <f>'صفحه اصلی'!C11</f>
        <v>0</v>
      </c>
      <c r="G82" s="349"/>
      <c r="H82" s="348" t="s">
        <v>9</v>
      </c>
      <c r="I82" s="240">
        <f>'صفحه اصلی'!C12</f>
        <v>0</v>
      </c>
      <c r="J82" s="348"/>
      <c r="K82" s="360" t="s">
        <v>10</v>
      </c>
      <c r="L82" s="352">
        <f>'صفحه اصلی'!C13</f>
        <v>0</v>
      </c>
      <c r="N82" s="90"/>
      <c r="O82" s="90"/>
      <c r="P82" s="90"/>
      <c r="Q82" s="90"/>
      <c r="R82" s="90"/>
      <c r="S82" s="90"/>
      <c r="T82" s="90"/>
    </row>
    <row r="83" spans="1:20" ht="30" customHeight="1" thickBot="1">
      <c r="A83" s="587" t="s">
        <v>19</v>
      </c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266" t="s">
        <v>39</v>
      </c>
    </row>
    <row r="84" spans="1:20" ht="30.75" customHeight="1" thickTop="1" thickBot="1">
      <c r="A84" s="582" t="s">
        <v>391</v>
      </c>
      <c r="B84" s="583"/>
      <c r="C84" s="583"/>
      <c r="D84" s="583"/>
      <c r="E84" s="583"/>
      <c r="F84" s="583"/>
      <c r="G84" s="583"/>
      <c r="H84" s="583"/>
      <c r="I84" s="583"/>
      <c r="J84" s="583"/>
      <c r="K84" s="583"/>
      <c r="L84" s="584"/>
    </row>
    <row r="85" spans="1:20" ht="28.5" customHeight="1" thickBot="1">
      <c r="A85" s="203" t="s">
        <v>11</v>
      </c>
      <c r="B85" s="680"/>
      <c r="C85" s="680"/>
      <c r="D85" s="680"/>
      <c r="E85" s="680"/>
      <c r="F85" s="680"/>
      <c r="G85" s="680"/>
      <c r="H85" s="680"/>
      <c r="I85" s="680"/>
      <c r="J85" s="680"/>
      <c r="K85" s="680"/>
      <c r="L85" s="681"/>
    </row>
    <row r="86" spans="1:20" s="4" customFormat="1" ht="38.25" customHeight="1" thickTop="1">
      <c r="A86" s="646" t="s">
        <v>40</v>
      </c>
      <c r="B86" s="646"/>
      <c r="C86" s="646"/>
      <c r="D86" s="646"/>
      <c r="E86" s="646"/>
      <c r="F86" s="646"/>
      <c r="G86" s="646"/>
      <c r="H86" s="646"/>
      <c r="I86" s="646"/>
      <c r="J86" s="646"/>
      <c r="K86" s="646"/>
      <c r="L86" s="646"/>
      <c r="N86" s="92"/>
      <c r="O86" s="92"/>
      <c r="P86" s="92"/>
      <c r="Q86" s="92"/>
      <c r="R86" s="92"/>
      <c r="S86" s="92"/>
      <c r="T86" s="92"/>
    </row>
    <row r="87" spans="1:20" s="67" customFormat="1" ht="30" customHeight="1">
      <c r="A87" s="611" t="s">
        <v>0</v>
      </c>
      <c r="B87" s="611"/>
      <c r="C87" s="241">
        <f>'صفحه اصلی'!C7</f>
        <v>0</v>
      </c>
      <c r="D87" s="241"/>
      <c r="E87" s="241"/>
      <c r="F87" s="241"/>
      <c r="G87" s="241"/>
      <c r="H87" s="241"/>
      <c r="I87" s="241"/>
      <c r="J87" s="241"/>
      <c r="K87" s="241"/>
      <c r="L87" s="241"/>
      <c r="N87" s="93"/>
      <c r="O87" s="93"/>
      <c r="P87" s="93"/>
      <c r="Q87" s="93"/>
      <c r="R87" s="93"/>
      <c r="S87" s="93"/>
      <c r="T87" s="93"/>
    </row>
    <row r="88" spans="1:20" s="67" customFormat="1" ht="31.5" customHeight="1" thickBot="1">
      <c r="A88" s="612" t="s">
        <v>1</v>
      </c>
      <c r="B88" s="612"/>
      <c r="C88" s="359">
        <f>'صفحه اصلی'!C8</f>
        <v>0</v>
      </c>
      <c r="D88" s="356" t="s">
        <v>31</v>
      </c>
      <c r="E88" s="290">
        <f>'4ابلاغی'!E101</f>
        <v>0</v>
      </c>
      <c r="F88" s="408"/>
      <c r="G88" s="356" t="s">
        <v>53</v>
      </c>
      <c r="H88" s="359">
        <f>'صفحه اصلی'!C9</f>
        <v>0</v>
      </c>
      <c r="I88" s="359"/>
      <c r="J88" s="359"/>
      <c r="K88" s="359"/>
      <c r="L88" s="347"/>
      <c r="N88" s="93"/>
      <c r="O88" s="93"/>
      <c r="P88" s="93"/>
      <c r="Q88" s="93"/>
      <c r="R88" s="93"/>
      <c r="S88" s="93"/>
      <c r="T88" s="93"/>
    </row>
    <row r="89" spans="1:20" s="200" customFormat="1" ht="24" customHeight="1" thickTop="1">
      <c r="A89" s="647" t="s">
        <v>23</v>
      </c>
      <c r="B89" s="642" t="s">
        <v>16</v>
      </c>
      <c r="C89" s="642" t="s">
        <v>32</v>
      </c>
      <c r="D89" s="642" t="s">
        <v>33</v>
      </c>
      <c r="E89" s="642" t="s">
        <v>34</v>
      </c>
      <c r="F89" s="642" t="s">
        <v>35</v>
      </c>
      <c r="G89" s="642" t="s">
        <v>384</v>
      </c>
      <c r="H89" s="642" t="s">
        <v>2</v>
      </c>
      <c r="I89" s="642" t="s">
        <v>68</v>
      </c>
      <c r="J89" s="642" t="s">
        <v>69</v>
      </c>
      <c r="K89" s="642" t="s">
        <v>61</v>
      </c>
      <c r="L89" s="644" t="s">
        <v>3</v>
      </c>
      <c r="N89" s="90"/>
      <c r="O89" s="90"/>
      <c r="P89" s="90"/>
      <c r="Q89" s="90"/>
      <c r="R89" s="90"/>
      <c r="S89" s="90"/>
      <c r="T89" s="90"/>
    </row>
    <row r="90" spans="1:20" s="200" customFormat="1" ht="24" customHeight="1" thickBot="1">
      <c r="A90" s="685"/>
      <c r="B90" s="649"/>
      <c r="C90" s="649"/>
      <c r="D90" s="649"/>
      <c r="E90" s="649"/>
      <c r="F90" s="649"/>
      <c r="G90" s="649"/>
      <c r="H90" s="649"/>
      <c r="I90" s="649"/>
      <c r="J90" s="649"/>
      <c r="K90" s="649"/>
      <c r="L90" s="645"/>
      <c r="N90" s="90"/>
      <c r="O90" s="90"/>
      <c r="P90" s="90"/>
      <c r="Q90" s="90"/>
      <c r="R90" s="90"/>
      <c r="S90" s="90"/>
      <c r="T90" s="90"/>
    </row>
    <row r="91" spans="1:20" ht="29.25" customHeight="1">
      <c r="A91" s="282" t="s">
        <v>41</v>
      </c>
      <c r="B91" s="434"/>
      <c r="C91" s="244">
        <f t="shared" ref="C91:C97" si="60">B91</f>
        <v>0</v>
      </c>
      <c r="D91" s="283">
        <f>SUM(E91:J91)</f>
        <v>0</v>
      </c>
      <c r="E91" s="434"/>
      <c r="F91" s="434"/>
      <c r="G91" s="434"/>
      <c r="H91" s="434"/>
      <c r="I91" s="434"/>
      <c r="J91" s="434"/>
      <c r="K91" s="434"/>
      <c r="L91" s="434"/>
      <c r="N91" s="602" t="str">
        <f>IF(B98='4ابلاغی'!B112," ","مغایرت جمع ستون اعتبار اصلاحی با اعتبار اصلاحی فرم 4 ابلاغی")</f>
        <v xml:space="preserve"> </v>
      </c>
      <c r="O91" s="602"/>
      <c r="P91" s="602"/>
      <c r="Q91" s="602"/>
      <c r="R91" s="602"/>
      <c r="S91" s="602"/>
      <c r="T91" s="602"/>
    </row>
    <row r="92" spans="1:20" ht="29.25" customHeight="1">
      <c r="A92" s="284" t="s">
        <v>42</v>
      </c>
      <c r="B92" s="434"/>
      <c r="C92" s="244">
        <f t="shared" si="60"/>
        <v>0</v>
      </c>
      <c r="D92" s="244">
        <f t="shared" ref="D92:D97" si="61">SUM(E92:J92)</f>
        <v>0</v>
      </c>
      <c r="E92" s="434"/>
      <c r="F92" s="434"/>
      <c r="G92" s="434"/>
      <c r="H92" s="434"/>
      <c r="I92" s="434"/>
      <c r="J92" s="434"/>
      <c r="K92" s="434"/>
      <c r="L92" s="434"/>
      <c r="N92" s="602" t="str">
        <f>IF(D98='4ابلاغی'!D112," ","مغایرت جمع ستون کنترل تخصیص با کنترل تخصیص فرم 4 ابلاغی")</f>
        <v xml:space="preserve"> </v>
      </c>
      <c r="O92" s="602"/>
      <c r="P92" s="602"/>
      <c r="Q92" s="602"/>
      <c r="R92" s="602"/>
      <c r="S92" s="602"/>
      <c r="T92" s="602"/>
    </row>
    <row r="93" spans="1:20" ht="29.25" customHeight="1">
      <c r="A93" s="284" t="s">
        <v>43</v>
      </c>
      <c r="B93" s="434"/>
      <c r="C93" s="409">
        <f t="shared" si="60"/>
        <v>0</v>
      </c>
      <c r="D93" s="244">
        <f t="shared" si="61"/>
        <v>0</v>
      </c>
      <c r="E93" s="434"/>
      <c r="F93" s="434"/>
      <c r="G93" s="434"/>
      <c r="H93" s="434"/>
      <c r="I93" s="434"/>
      <c r="J93" s="434"/>
      <c r="K93" s="434"/>
      <c r="L93" s="434"/>
      <c r="N93" s="602" t="str">
        <f>IF(E98='4ابلاغی'!E112," ","مغایرت جمع ستون هزینه با هزینه فرم 4 ابلاغی")</f>
        <v xml:space="preserve"> </v>
      </c>
      <c r="O93" s="602"/>
      <c r="P93" s="602"/>
      <c r="Q93" s="602"/>
      <c r="R93" s="602"/>
      <c r="S93" s="602"/>
      <c r="T93" s="602"/>
    </row>
    <row r="94" spans="1:20" ht="29.25" customHeight="1">
      <c r="A94" s="285" t="s">
        <v>44</v>
      </c>
      <c r="B94" s="434"/>
      <c r="C94" s="410">
        <f t="shared" si="60"/>
        <v>0</v>
      </c>
      <c r="D94" s="244">
        <f t="shared" si="61"/>
        <v>0</v>
      </c>
      <c r="E94" s="434"/>
      <c r="F94" s="434"/>
      <c r="G94" s="434"/>
      <c r="H94" s="434"/>
      <c r="I94" s="434"/>
      <c r="J94" s="434"/>
      <c r="K94" s="434"/>
      <c r="L94" s="434"/>
      <c r="N94" s="602" t="str">
        <f>IF(F98='4ابلاغی'!F112," ","مغایرت جمع ستون پیش پرداخت با پیش پرداخت فرم 4 ابلاغی")</f>
        <v xml:space="preserve"> </v>
      </c>
      <c r="O94" s="602"/>
      <c r="P94" s="602"/>
      <c r="Q94" s="602"/>
      <c r="R94" s="602"/>
      <c r="S94" s="602"/>
      <c r="T94" s="602"/>
    </row>
    <row r="95" spans="1:20" ht="29.25" customHeight="1">
      <c r="A95" s="285" t="s">
        <v>45</v>
      </c>
      <c r="B95" s="434"/>
      <c r="C95" s="244">
        <f t="shared" si="60"/>
        <v>0</v>
      </c>
      <c r="D95" s="244">
        <f t="shared" si="61"/>
        <v>0</v>
      </c>
      <c r="E95" s="434"/>
      <c r="F95" s="434"/>
      <c r="G95" s="434"/>
      <c r="H95" s="434"/>
      <c r="I95" s="434"/>
      <c r="J95" s="434"/>
      <c r="K95" s="434"/>
      <c r="L95" s="434"/>
      <c r="N95" s="602" t="str">
        <f>IF(H98='4ابلاغی'!H112," ","مغایرت جمع ستون علی الحساب با علی الحساب فرم 4 ابلاغی")</f>
        <v xml:space="preserve"> </v>
      </c>
      <c r="O95" s="602"/>
      <c r="P95" s="602"/>
      <c r="Q95" s="602"/>
      <c r="R95" s="602"/>
      <c r="S95" s="602"/>
      <c r="T95" s="602"/>
    </row>
    <row r="96" spans="1:20" ht="29.25" customHeight="1">
      <c r="A96" s="285" t="s">
        <v>46</v>
      </c>
      <c r="B96" s="434"/>
      <c r="C96" s="409">
        <f t="shared" si="60"/>
        <v>0</v>
      </c>
      <c r="D96" s="244">
        <f t="shared" si="61"/>
        <v>0</v>
      </c>
      <c r="E96" s="434"/>
      <c r="F96" s="434"/>
      <c r="G96" s="434"/>
      <c r="H96" s="434"/>
      <c r="I96" s="434"/>
      <c r="J96" s="434"/>
      <c r="K96" s="434"/>
      <c r="L96" s="434"/>
      <c r="N96" s="602" t="str">
        <f>IF(K98='4ابلاغی'!K112," ","مغایرت جمع ستون واریزی به خزانه با واریزی به خزانه فرم 4 ابلاغی")</f>
        <v xml:space="preserve"> </v>
      </c>
      <c r="O96" s="602"/>
      <c r="P96" s="602"/>
      <c r="Q96" s="602"/>
      <c r="R96" s="602"/>
      <c r="S96" s="602"/>
      <c r="T96" s="602"/>
    </row>
    <row r="97" spans="1:20" ht="29.25" customHeight="1" thickBot="1">
      <c r="A97" s="286" t="s">
        <v>47</v>
      </c>
      <c r="B97" s="434"/>
      <c r="C97" s="245">
        <f t="shared" si="60"/>
        <v>0</v>
      </c>
      <c r="D97" s="245">
        <f t="shared" si="61"/>
        <v>0</v>
      </c>
      <c r="E97" s="434"/>
      <c r="F97" s="434"/>
      <c r="G97" s="434"/>
      <c r="H97" s="434"/>
      <c r="I97" s="434"/>
      <c r="J97" s="434"/>
      <c r="K97" s="434"/>
      <c r="L97" s="434"/>
      <c r="N97" s="602" t="str">
        <f>IF(L98='4ابلاغی'!L112," ","مغایرت جمع ستون انتقالی با انتقالی فرم 4 ابلاغی")</f>
        <v xml:space="preserve"> </v>
      </c>
      <c r="O97" s="602"/>
      <c r="P97" s="602"/>
      <c r="Q97" s="602"/>
      <c r="R97" s="602"/>
      <c r="S97" s="602"/>
      <c r="T97" s="602"/>
    </row>
    <row r="98" spans="1:20" ht="33" customHeight="1" thickBot="1">
      <c r="A98" s="280" t="s">
        <v>7</v>
      </c>
      <c r="B98" s="355">
        <f>SUM(B91:B97)</f>
        <v>0</v>
      </c>
      <c r="C98" s="355">
        <f t="shared" ref="C98:L98" si="62">SUM(C91:C97)</f>
        <v>0</v>
      </c>
      <c r="D98" s="355">
        <f t="shared" si="62"/>
        <v>0</v>
      </c>
      <c r="E98" s="355">
        <f t="shared" si="62"/>
        <v>0</v>
      </c>
      <c r="F98" s="355">
        <f t="shared" si="62"/>
        <v>0</v>
      </c>
      <c r="G98" s="355">
        <f t="shared" si="62"/>
        <v>0</v>
      </c>
      <c r="H98" s="355">
        <f t="shared" si="62"/>
        <v>0</v>
      </c>
      <c r="I98" s="355">
        <f t="shared" si="62"/>
        <v>0</v>
      </c>
      <c r="J98" s="355">
        <f t="shared" si="62"/>
        <v>0</v>
      </c>
      <c r="K98" s="355">
        <f t="shared" si="62"/>
        <v>0</v>
      </c>
      <c r="L98" s="75">
        <f t="shared" si="62"/>
        <v>0</v>
      </c>
      <c r="M98" s="168"/>
      <c r="N98" s="602"/>
      <c r="O98" s="602"/>
      <c r="P98" s="602"/>
      <c r="Q98" s="602"/>
      <c r="R98" s="602"/>
      <c r="S98" s="602"/>
      <c r="T98" s="602"/>
    </row>
    <row r="99" spans="1:20" s="200" customFormat="1" ht="42.75" customHeight="1" thickTop="1">
      <c r="A99" s="671" t="s">
        <v>21</v>
      </c>
      <c r="B99" s="671"/>
      <c r="C99" s="239">
        <f>'صفحه اصلی'!C10</f>
        <v>0</v>
      </c>
      <c r="D99" s="671" t="s">
        <v>8</v>
      </c>
      <c r="E99" s="671"/>
      <c r="F99" s="239">
        <f>'صفحه اصلی'!C11</f>
        <v>0</v>
      </c>
      <c r="G99" s="349"/>
      <c r="H99" s="348" t="s">
        <v>9</v>
      </c>
      <c r="I99" s="240">
        <f>'صفحه اصلی'!C12</f>
        <v>0</v>
      </c>
      <c r="J99" s="348"/>
      <c r="K99" s="360" t="s">
        <v>10</v>
      </c>
      <c r="L99" s="352">
        <f>'صفحه اصلی'!C13</f>
        <v>0</v>
      </c>
      <c r="N99" s="90"/>
      <c r="O99" s="90"/>
      <c r="P99" s="90"/>
      <c r="Q99" s="90"/>
      <c r="R99" s="90"/>
      <c r="S99" s="90"/>
      <c r="T99" s="90"/>
    </row>
    <row r="100" spans="1:20" ht="30" customHeight="1" thickBot="1">
      <c r="A100" s="587" t="s">
        <v>19</v>
      </c>
      <c r="B100" s="587"/>
      <c r="C100" s="587"/>
      <c r="D100" s="587"/>
      <c r="E100" s="587"/>
      <c r="F100" s="587"/>
      <c r="G100" s="587"/>
      <c r="H100" s="587"/>
      <c r="I100" s="587"/>
      <c r="J100" s="587"/>
      <c r="K100" s="587"/>
      <c r="L100" s="266" t="s">
        <v>39</v>
      </c>
    </row>
    <row r="101" spans="1:20" ht="30.75" customHeight="1" thickTop="1" thickBot="1">
      <c r="A101" s="582" t="s">
        <v>391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4"/>
    </row>
    <row r="102" spans="1:20" ht="28.5" customHeight="1" thickBot="1">
      <c r="A102" s="203" t="s">
        <v>11</v>
      </c>
      <c r="B102" s="680"/>
      <c r="C102" s="680"/>
      <c r="D102" s="680"/>
      <c r="E102" s="680"/>
      <c r="F102" s="680"/>
      <c r="G102" s="680"/>
      <c r="H102" s="680"/>
      <c r="I102" s="680"/>
      <c r="J102" s="680"/>
      <c r="K102" s="680"/>
      <c r="L102" s="681"/>
    </row>
    <row r="103" spans="1:20" s="4" customFormat="1" ht="38.25" customHeight="1" thickTop="1">
      <c r="A103" s="646" t="s">
        <v>40</v>
      </c>
      <c r="B103" s="646"/>
      <c r="C103" s="646"/>
      <c r="D103" s="646"/>
      <c r="E103" s="646"/>
      <c r="F103" s="646"/>
      <c r="G103" s="646"/>
      <c r="H103" s="646"/>
      <c r="I103" s="646"/>
      <c r="J103" s="646"/>
      <c r="K103" s="646"/>
      <c r="L103" s="646"/>
      <c r="N103" s="92"/>
      <c r="O103" s="92"/>
      <c r="P103" s="92"/>
      <c r="Q103" s="92"/>
      <c r="R103" s="92"/>
      <c r="S103" s="92"/>
      <c r="T103" s="92"/>
    </row>
    <row r="104" spans="1:20" s="67" customFormat="1" ht="30" customHeight="1">
      <c r="A104" s="611" t="s">
        <v>0</v>
      </c>
      <c r="B104" s="611"/>
      <c r="C104" s="241">
        <f>'صفحه اصلی'!C7</f>
        <v>0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N104" s="93"/>
      <c r="O104" s="93"/>
      <c r="P104" s="93"/>
      <c r="Q104" s="93"/>
      <c r="R104" s="93"/>
      <c r="S104" s="93"/>
      <c r="T104" s="93"/>
    </row>
    <row r="105" spans="1:20" s="67" customFormat="1" ht="31.5" customHeight="1" thickBot="1">
      <c r="A105" s="612" t="s">
        <v>1</v>
      </c>
      <c r="B105" s="612"/>
      <c r="C105" s="359">
        <f>'صفحه اصلی'!C8</f>
        <v>0</v>
      </c>
      <c r="D105" s="356" t="s">
        <v>31</v>
      </c>
      <c r="E105" s="290">
        <f>'4ابلاغی'!E119</f>
        <v>0</v>
      </c>
      <c r="F105" s="408"/>
      <c r="G105" s="356" t="s">
        <v>53</v>
      </c>
      <c r="H105" s="359">
        <f>'صفحه اصلی'!C9</f>
        <v>0</v>
      </c>
      <c r="I105" s="359"/>
      <c r="J105" s="359"/>
      <c r="K105" s="359"/>
      <c r="L105" s="347"/>
      <c r="N105" s="93"/>
      <c r="O105" s="93"/>
      <c r="P105" s="93"/>
      <c r="Q105" s="93"/>
      <c r="R105" s="93"/>
      <c r="S105" s="93"/>
      <c r="T105" s="93"/>
    </row>
    <row r="106" spans="1:20" s="200" customFormat="1" ht="24" customHeight="1" thickTop="1">
      <c r="A106" s="647" t="s">
        <v>23</v>
      </c>
      <c r="B106" s="642" t="s">
        <v>16</v>
      </c>
      <c r="C106" s="642" t="s">
        <v>32</v>
      </c>
      <c r="D106" s="642" t="s">
        <v>33</v>
      </c>
      <c r="E106" s="642" t="s">
        <v>34</v>
      </c>
      <c r="F106" s="642" t="s">
        <v>35</v>
      </c>
      <c r="G106" s="642" t="s">
        <v>384</v>
      </c>
      <c r="H106" s="642" t="s">
        <v>2</v>
      </c>
      <c r="I106" s="642" t="s">
        <v>68</v>
      </c>
      <c r="J106" s="642" t="s">
        <v>69</v>
      </c>
      <c r="K106" s="642" t="s">
        <v>61</v>
      </c>
      <c r="L106" s="644" t="s">
        <v>3</v>
      </c>
      <c r="N106" s="90"/>
      <c r="O106" s="90"/>
      <c r="P106" s="90"/>
      <c r="Q106" s="90"/>
      <c r="R106" s="90"/>
      <c r="S106" s="90"/>
      <c r="T106" s="90"/>
    </row>
    <row r="107" spans="1:20" s="200" customFormat="1" ht="24" customHeight="1" thickBot="1">
      <c r="A107" s="685"/>
      <c r="B107" s="649"/>
      <c r="C107" s="649"/>
      <c r="D107" s="649"/>
      <c r="E107" s="649"/>
      <c r="F107" s="649"/>
      <c r="G107" s="649"/>
      <c r="H107" s="649"/>
      <c r="I107" s="649"/>
      <c r="J107" s="649"/>
      <c r="K107" s="649"/>
      <c r="L107" s="645"/>
      <c r="N107" s="90"/>
      <c r="O107" s="90"/>
      <c r="P107" s="90"/>
      <c r="Q107" s="90"/>
      <c r="R107" s="90"/>
      <c r="S107" s="90"/>
      <c r="T107" s="90"/>
    </row>
    <row r="108" spans="1:20" ht="29.25" customHeight="1">
      <c r="A108" s="282" t="s">
        <v>41</v>
      </c>
      <c r="B108" s="434"/>
      <c r="C108" s="244">
        <f t="shared" ref="C108:C114" si="63">B108</f>
        <v>0</v>
      </c>
      <c r="D108" s="283">
        <f>SUM(E108:J108)</f>
        <v>0</v>
      </c>
      <c r="E108" s="434"/>
      <c r="F108" s="434"/>
      <c r="G108" s="434"/>
      <c r="H108" s="434"/>
      <c r="I108" s="434"/>
      <c r="J108" s="434"/>
      <c r="K108" s="434"/>
      <c r="L108" s="434"/>
      <c r="N108" s="602" t="str">
        <f>IF(B115='4ابلاغی'!B130," ","مغایرت جمع ستون اعتبار اصلاحی با اعتبار اصلاحی فرم 4 ابلاغی")</f>
        <v xml:space="preserve"> </v>
      </c>
      <c r="O108" s="602"/>
      <c r="P108" s="602"/>
      <c r="Q108" s="602"/>
      <c r="R108" s="602"/>
      <c r="S108" s="602"/>
      <c r="T108" s="602"/>
    </row>
    <row r="109" spans="1:20" ht="29.25" customHeight="1">
      <c r="A109" s="284" t="s">
        <v>42</v>
      </c>
      <c r="B109" s="434"/>
      <c r="C109" s="244">
        <f t="shared" si="63"/>
        <v>0</v>
      </c>
      <c r="D109" s="244">
        <f t="shared" ref="D109:D114" si="64">SUM(E109:J109)</f>
        <v>0</v>
      </c>
      <c r="E109" s="434"/>
      <c r="F109" s="434"/>
      <c r="G109" s="434"/>
      <c r="H109" s="434"/>
      <c r="I109" s="434"/>
      <c r="J109" s="434"/>
      <c r="K109" s="434"/>
      <c r="L109" s="434"/>
      <c r="N109" s="602" t="str">
        <f>IF(D115='4ابلاغی'!D130," ","مغایرت جمع ستون کنترل تخصیص با کنترل تخصیص فرم 4 ابلاغی")</f>
        <v xml:space="preserve"> </v>
      </c>
      <c r="O109" s="602"/>
      <c r="P109" s="602"/>
      <c r="Q109" s="602"/>
      <c r="R109" s="602"/>
      <c r="S109" s="602"/>
      <c r="T109" s="602"/>
    </row>
    <row r="110" spans="1:20" ht="29.25" customHeight="1">
      <c r="A110" s="284" t="s">
        <v>43</v>
      </c>
      <c r="B110" s="434"/>
      <c r="C110" s="409">
        <f t="shared" si="63"/>
        <v>0</v>
      </c>
      <c r="D110" s="244">
        <f t="shared" si="64"/>
        <v>0</v>
      </c>
      <c r="E110" s="434"/>
      <c r="F110" s="434"/>
      <c r="G110" s="434"/>
      <c r="H110" s="434"/>
      <c r="I110" s="434"/>
      <c r="J110" s="434"/>
      <c r="K110" s="434"/>
      <c r="L110" s="434"/>
      <c r="N110" s="602" t="str">
        <f>IF(E115='4ابلاغی'!E130," ","مغایرت جمع ستون هزینه با هزینه فرم 4 ابلاغی")</f>
        <v xml:space="preserve"> </v>
      </c>
      <c r="O110" s="602"/>
      <c r="P110" s="602"/>
      <c r="Q110" s="602"/>
      <c r="R110" s="602"/>
      <c r="S110" s="602"/>
      <c r="T110" s="602"/>
    </row>
    <row r="111" spans="1:20" ht="29.25" customHeight="1">
      <c r="A111" s="285" t="s">
        <v>44</v>
      </c>
      <c r="B111" s="434"/>
      <c r="C111" s="410">
        <f t="shared" si="63"/>
        <v>0</v>
      </c>
      <c r="D111" s="244">
        <f t="shared" si="64"/>
        <v>0</v>
      </c>
      <c r="E111" s="434"/>
      <c r="F111" s="434"/>
      <c r="G111" s="434"/>
      <c r="H111" s="434"/>
      <c r="I111" s="434"/>
      <c r="J111" s="434"/>
      <c r="K111" s="434"/>
      <c r="L111" s="434"/>
      <c r="N111" s="602" t="str">
        <f>IF(F115='4ابلاغی'!F130," ","مغایرت جمع ستون پیش پرداخت با پیش پرداخت فرم 4 ابلاغی")</f>
        <v xml:space="preserve"> </v>
      </c>
      <c r="O111" s="602"/>
      <c r="P111" s="602"/>
      <c r="Q111" s="602"/>
      <c r="R111" s="602"/>
      <c r="S111" s="602"/>
      <c r="T111" s="602"/>
    </row>
    <row r="112" spans="1:20" ht="29.25" customHeight="1">
      <c r="A112" s="285" t="s">
        <v>45</v>
      </c>
      <c r="B112" s="434"/>
      <c r="C112" s="244">
        <f t="shared" si="63"/>
        <v>0</v>
      </c>
      <c r="D112" s="244">
        <f t="shared" si="64"/>
        <v>0</v>
      </c>
      <c r="E112" s="434"/>
      <c r="F112" s="434"/>
      <c r="G112" s="434"/>
      <c r="H112" s="434"/>
      <c r="I112" s="434"/>
      <c r="J112" s="434"/>
      <c r="K112" s="434"/>
      <c r="L112" s="434"/>
      <c r="N112" s="602" t="str">
        <f>IF(H115='4ابلاغی'!H130," ","مغایرت جمع ستون علی الحساب با علی الحساب فرم 4 ابلاغی")</f>
        <v xml:space="preserve"> </v>
      </c>
      <c r="O112" s="602"/>
      <c r="P112" s="602"/>
      <c r="Q112" s="602"/>
      <c r="R112" s="602"/>
      <c r="S112" s="602"/>
      <c r="T112" s="602"/>
    </row>
    <row r="113" spans="1:20" ht="29.25" customHeight="1">
      <c r="A113" s="285" t="s">
        <v>46</v>
      </c>
      <c r="B113" s="434"/>
      <c r="C113" s="409">
        <f t="shared" si="63"/>
        <v>0</v>
      </c>
      <c r="D113" s="244">
        <f t="shared" si="64"/>
        <v>0</v>
      </c>
      <c r="E113" s="434"/>
      <c r="F113" s="434"/>
      <c r="G113" s="434"/>
      <c r="H113" s="434"/>
      <c r="I113" s="434"/>
      <c r="J113" s="434"/>
      <c r="K113" s="434"/>
      <c r="L113" s="434"/>
      <c r="N113" s="602" t="str">
        <f>IF(K115='4ابلاغی'!K130," ","مغایرت جمع ستون واریزی به خزانه با واریزی به خزانه فرم 4 ابلاغی")</f>
        <v xml:space="preserve"> </v>
      </c>
      <c r="O113" s="602"/>
      <c r="P113" s="602"/>
      <c r="Q113" s="602"/>
      <c r="R113" s="602"/>
      <c r="S113" s="602"/>
      <c r="T113" s="602"/>
    </row>
    <row r="114" spans="1:20" ht="29.25" customHeight="1" thickBot="1">
      <c r="A114" s="286" t="s">
        <v>47</v>
      </c>
      <c r="B114" s="434"/>
      <c r="C114" s="245">
        <f t="shared" si="63"/>
        <v>0</v>
      </c>
      <c r="D114" s="245">
        <f t="shared" si="64"/>
        <v>0</v>
      </c>
      <c r="E114" s="434"/>
      <c r="F114" s="434"/>
      <c r="G114" s="434"/>
      <c r="H114" s="434"/>
      <c r="I114" s="434"/>
      <c r="J114" s="434"/>
      <c r="K114" s="434"/>
      <c r="L114" s="434"/>
      <c r="N114" s="602" t="str">
        <f>IF(L115='4ابلاغی'!L130," ","مغایرت جمع ستون انتقالی با انتقالی فرم 4 ابلاغی")</f>
        <v xml:space="preserve"> </v>
      </c>
      <c r="O114" s="602"/>
      <c r="P114" s="602"/>
      <c r="Q114" s="602"/>
      <c r="R114" s="602"/>
      <c r="S114" s="602"/>
      <c r="T114" s="602"/>
    </row>
    <row r="115" spans="1:20" ht="33" customHeight="1" thickBot="1">
      <c r="A115" s="280" t="s">
        <v>7</v>
      </c>
      <c r="B115" s="355">
        <f>SUM(B108:B114)</f>
        <v>0</v>
      </c>
      <c r="C115" s="355">
        <f t="shared" ref="C115:L115" si="65">SUM(C108:C114)</f>
        <v>0</v>
      </c>
      <c r="D115" s="355">
        <f t="shared" si="65"/>
        <v>0</v>
      </c>
      <c r="E115" s="355">
        <f t="shared" si="65"/>
        <v>0</v>
      </c>
      <c r="F115" s="355">
        <f t="shared" si="65"/>
        <v>0</v>
      </c>
      <c r="G115" s="355">
        <f t="shared" si="65"/>
        <v>0</v>
      </c>
      <c r="H115" s="355">
        <f t="shared" si="65"/>
        <v>0</v>
      </c>
      <c r="I115" s="355">
        <f t="shared" si="65"/>
        <v>0</v>
      </c>
      <c r="J115" s="355">
        <f t="shared" si="65"/>
        <v>0</v>
      </c>
      <c r="K115" s="355">
        <f t="shared" si="65"/>
        <v>0</v>
      </c>
      <c r="L115" s="75">
        <f t="shared" si="65"/>
        <v>0</v>
      </c>
      <c r="M115" s="168"/>
      <c r="N115" s="602"/>
      <c r="O115" s="602"/>
      <c r="P115" s="602"/>
      <c r="Q115" s="602"/>
      <c r="R115" s="602"/>
      <c r="S115" s="602"/>
      <c r="T115" s="602"/>
    </row>
    <row r="116" spans="1:20" s="200" customFormat="1" ht="42.75" customHeight="1" thickTop="1">
      <c r="A116" s="671" t="s">
        <v>21</v>
      </c>
      <c r="B116" s="671"/>
      <c r="C116" s="240">
        <f>'صفحه اصلی'!C10</f>
        <v>0</v>
      </c>
      <c r="D116" s="671" t="s">
        <v>8</v>
      </c>
      <c r="E116" s="671"/>
      <c r="F116" s="239">
        <f>'صفحه اصلی'!C11</f>
        <v>0</v>
      </c>
      <c r="G116" s="349"/>
      <c r="H116" s="348" t="s">
        <v>9</v>
      </c>
      <c r="I116" s="240">
        <f>'صفحه اصلی'!C12</f>
        <v>0</v>
      </c>
      <c r="J116" s="348"/>
      <c r="K116" s="360" t="s">
        <v>10</v>
      </c>
      <c r="L116" s="352">
        <f>'صفحه اصلی'!C13</f>
        <v>0</v>
      </c>
      <c r="N116" s="90"/>
      <c r="O116" s="90"/>
      <c r="P116" s="90"/>
      <c r="Q116" s="90"/>
      <c r="R116" s="90"/>
      <c r="S116" s="90"/>
      <c r="T116" s="90"/>
    </row>
    <row r="117" spans="1:20" ht="30" customHeight="1" thickBot="1">
      <c r="A117" s="587" t="s">
        <v>19</v>
      </c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266" t="s">
        <v>39</v>
      </c>
    </row>
    <row r="118" spans="1:20" ht="30.75" customHeight="1" thickTop="1" thickBot="1">
      <c r="A118" s="582" t="s">
        <v>391</v>
      </c>
      <c r="B118" s="583"/>
      <c r="C118" s="583"/>
      <c r="D118" s="583"/>
      <c r="E118" s="583"/>
      <c r="F118" s="583"/>
      <c r="G118" s="583"/>
      <c r="H118" s="583"/>
      <c r="I118" s="583"/>
      <c r="J118" s="583"/>
      <c r="K118" s="583"/>
      <c r="L118" s="584"/>
    </row>
    <row r="119" spans="1:20" ht="28.5" customHeight="1" thickBot="1">
      <c r="A119" s="203" t="s">
        <v>11</v>
      </c>
      <c r="B119" s="680"/>
      <c r="C119" s="680"/>
      <c r="D119" s="680"/>
      <c r="E119" s="680"/>
      <c r="F119" s="680"/>
      <c r="G119" s="680"/>
      <c r="H119" s="680"/>
      <c r="I119" s="680"/>
      <c r="J119" s="680"/>
      <c r="K119" s="680"/>
      <c r="L119" s="681"/>
    </row>
    <row r="120" spans="1:20" s="4" customFormat="1" ht="38.25" customHeight="1" thickTop="1">
      <c r="A120" s="646" t="s">
        <v>40</v>
      </c>
      <c r="B120" s="646"/>
      <c r="C120" s="646"/>
      <c r="D120" s="646"/>
      <c r="E120" s="646"/>
      <c r="F120" s="646"/>
      <c r="G120" s="646"/>
      <c r="H120" s="646"/>
      <c r="I120" s="646"/>
      <c r="J120" s="646"/>
      <c r="K120" s="646"/>
      <c r="L120" s="646"/>
      <c r="N120" s="92"/>
      <c r="O120" s="92"/>
      <c r="P120" s="92"/>
      <c r="Q120" s="92"/>
      <c r="R120" s="92"/>
      <c r="S120" s="92"/>
      <c r="T120" s="92"/>
    </row>
    <row r="121" spans="1:20" s="67" customFormat="1" ht="30" customHeight="1">
      <c r="A121" s="611" t="s">
        <v>0</v>
      </c>
      <c r="B121" s="611"/>
      <c r="C121" s="241">
        <f>'صفحه اصلی'!C7</f>
        <v>0</v>
      </c>
      <c r="D121" s="241"/>
      <c r="E121" s="241"/>
      <c r="F121" s="241"/>
      <c r="G121" s="241"/>
      <c r="H121" s="241"/>
      <c r="I121" s="241"/>
      <c r="J121" s="241"/>
      <c r="K121" s="241"/>
      <c r="L121" s="241"/>
      <c r="N121" s="93"/>
      <c r="O121" s="93"/>
      <c r="P121" s="93"/>
      <c r="Q121" s="93"/>
      <c r="R121" s="93"/>
      <c r="S121" s="93"/>
      <c r="T121" s="93"/>
    </row>
    <row r="122" spans="1:20" s="67" customFormat="1" ht="31.5" customHeight="1" thickBot="1">
      <c r="A122" s="612" t="s">
        <v>1</v>
      </c>
      <c r="B122" s="612"/>
      <c r="C122" s="359">
        <f>'صفحه اصلی'!C8</f>
        <v>0</v>
      </c>
      <c r="D122" s="356" t="s">
        <v>31</v>
      </c>
      <c r="E122" s="290">
        <f>'4ابلاغی'!E137</f>
        <v>0</v>
      </c>
      <c r="F122" s="408"/>
      <c r="G122" s="356" t="s">
        <v>53</v>
      </c>
      <c r="H122" s="359">
        <f>'صفحه اصلی'!C9</f>
        <v>0</v>
      </c>
      <c r="I122" s="359"/>
      <c r="J122" s="359"/>
      <c r="K122" s="359"/>
      <c r="L122" s="347"/>
      <c r="N122" s="93"/>
      <c r="O122" s="93"/>
      <c r="P122" s="93"/>
      <c r="Q122" s="93"/>
      <c r="R122" s="93"/>
      <c r="S122" s="93"/>
      <c r="T122" s="93"/>
    </row>
    <row r="123" spans="1:20" s="200" customFormat="1" ht="24" customHeight="1" thickTop="1">
      <c r="A123" s="684" t="s">
        <v>23</v>
      </c>
      <c r="B123" s="686" t="s">
        <v>16</v>
      </c>
      <c r="C123" s="686" t="s">
        <v>32</v>
      </c>
      <c r="D123" s="686" t="s">
        <v>33</v>
      </c>
      <c r="E123" s="687" t="s">
        <v>34</v>
      </c>
      <c r="F123" s="687" t="s">
        <v>35</v>
      </c>
      <c r="G123" s="686" t="s">
        <v>384</v>
      </c>
      <c r="H123" s="686" t="s">
        <v>2</v>
      </c>
      <c r="I123" s="642" t="s">
        <v>68</v>
      </c>
      <c r="J123" s="642" t="s">
        <v>69</v>
      </c>
      <c r="K123" s="642" t="s">
        <v>61</v>
      </c>
      <c r="L123" s="689" t="s">
        <v>3</v>
      </c>
      <c r="N123" s="90"/>
      <c r="O123" s="90"/>
      <c r="P123" s="90"/>
      <c r="Q123" s="90"/>
      <c r="R123" s="90"/>
      <c r="S123" s="90"/>
      <c r="T123" s="90"/>
    </row>
    <row r="124" spans="1:20" s="200" customFormat="1" ht="24" customHeight="1" thickBot="1">
      <c r="A124" s="685"/>
      <c r="B124" s="649"/>
      <c r="C124" s="649"/>
      <c r="D124" s="649"/>
      <c r="E124" s="688"/>
      <c r="F124" s="688"/>
      <c r="G124" s="649"/>
      <c r="H124" s="649"/>
      <c r="I124" s="649"/>
      <c r="J124" s="643"/>
      <c r="K124" s="643"/>
      <c r="L124" s="645"/>
      <c r="N124" s="90"/>
      <c r="O124" s="90"/>
      <c r="P124" s="90"/>
      <c r="Q124" s="90"/>
      <c r="R124" s="90"/>
      <c r="S124" s="90"/>
      <c r="T124" s="90"/>
    </row>
    <row r="125" spans="1:20" ht="29.25" customHeight="1">
      <c r="A125" s="282" t="s">
        <v>41</v>
      </c>
      <c r="B125" s="434"/>
      <c r="C125" s="244">
        <f t="shared" ref="C125:C131" si="66">B125</f>
        <v>0</v>
      </c>
      <c r="D125" s="283">
        <f>SUM(E125:J125)</f>
        <v>0</v>
      </c>
      <c r="E125" s="434"/>
      <c r="F125" s="434"/>
      <c r="G125" s="434"/>
      <c r="H125" s="434"/>
      <c r="I125" s="434"/>
      <c r="J125" s="434"/>
      <c r="K125" s="434"/>
      <c r="L125" s="434"/>
      <c r="N125" s="602" t="str">
        <f>IF(B132='4ابلاغی'!B148," ","مغایرت جمع ستون اعتبار اصلاحی با اعتبار اصلاحی فرم 4 ابلاغی")</f>
        <v xml:space="preserve"> </v>
      </c>
      <c r="O125" s="602"/>
      <c r="P125" s="602"/>
      <c r="Q125" s="602"/>
      <c r="R125" s="602"/>
      <c r="S125" s="602"/>
      <c r="T125" s="602"/>
    </row>
    <row r="126" spans="1:20" ht="29.25" customHeight="1">
      <c r="A126" s="284" t="s">
        <v>42</v>
      </c>
      <c r="B126" s="434"/>
      <c r="C126" s="244">
        <f t="shared" si="66"/>
        <v>0</v>
      </c>
      <c r="D126" s="244">
        <f t="shared" ref="D126:D131" si="67">SUM(E126:J126)</f>
        <v>0</v>
      </c>
      <c r="E126" s="434"/>
      <c r="F126" s="434"/>
      <c r="G126" s="434"/>
      <c r="H126" s="434"/>
      <c r="I126" s="434"/>
      <c r="J126" s="434"/>
      <c r="K126" s="434"/>
      <c r="L126" s="434"/>
      <c r="N126" s="602" t="str">
        <f>IF(D132='4ابلاغی'!D148," ","مغایرت جمع ستون کنترل تخصیص با کنترل تخصیص فرم 4 ابلاغی")</f>
        <v xml:space="preserve"> </v>
      </c>
      <c r="O126" s="602"/>
      <c r="P126" s="602"/>
      <c r="Q126" s="602"/>
      <c r="R126" s="602"/>
      <c r="S126" s="602"/>
      <c r="T126" s="602"/>
    </row>
    <row r="127" spans="1:20" ht="29.25" customHeight="1">
      <c r="A127" s="284" t="s">
        <v>43</v>
      </c>
      <c r="B127" s="434"/>
      <c r="C127" s="409">
        <f t="shared" si="66"/>
        <v>0</v>
      </c>
      <c r="D127" s="244">
        <f t="shared" si="67"/>
        <v>0</v>
      </c>
      <c r="E127" s="434"/>
      <c r="F127" s="434"/>
      <c r="G127" s="434"/>
      <c r="H127" s="434"/>
      <c r="I127" s="434"/>
      <c r="J127" s="434"/>
      <c r="K127" s="434"/>
      <c r="L127" s="434"/>
      <c r="N127" s="602" t="str">
        <f>IF(E132='4ابلاغی'!E148," ","مغایرت جمع ستون هزینه با هزینه فرم 4 ابلاغی")</f>
        <v xml:space="preserve"> </v>
      </c>
      <c r="O127" s="602"/>
      <c r="P127" s="602"/>
      <c r="Q127" s="602"/>
      <c r="R127" s="602"/>
      <c r="S127" s="602"/>
      <c r="T127" s="602"/>
    </row>
    <row r="128" spans="1:20" ht="29.25" customHeight="1">
      <c r="A128" s="285" t="s">
        <v>44</v>
      </c>
      <c r="B128" s="434"/>
      <c r="C128" s="410">
        <f t="shared" si="66"/>
        <v>0</v>
      </c>
      <c r="D128" s="244">
        <f t="shared" si="67"/>
        <v>0</v>
      </c>
      <c r="E128" s="434"/>
      <c r="F128" s="434"/>
      <c r="G128" s="434"/>
      <c r="H128" s="434"/>
      <c r="I128" s="434"/>
      <c r="J128" s="434"/>
      <c r="K128" s="434"/>
      <c r="L128" s="434"/>
      <c r="N128" s="602" t="str">
        <f>IF(F132='4ابلاغی'!F148," ","مغایرت جمع ستون پیش پرداخت با پیش پرداخت فرم 4 ابلاغی")</f>
        <v xml:space="preserve"> </v>
      </c>
      <c r="O128" s="602"/>
      <c r="P128" s="602"/>
      <c r="Q128" s="602"/>
      <c r="R128" s="602"/>
      <c r="S128" s="602"/>
      <c r="T128" s="602"/>
    </row>
    <row r="129" spans="1:20" ht="29.25" customHeight="1">
      <c r="A129" s="285" t="s">
        <v>45</v>
      </c>
      <c r="B129" s="434"/>
      <c r="C129" s="244">
        <f t="shared" si="66"/>
        <v>0</v>
      </c>
      <c r="D129" s="244">
        <f t="shared" si="67"/>
        <v>0</v>
      </c>
      <c r="E129" s="434"/>
      <c r="F129" s="434"/>
      <c r="G129" s="434"/>
      <c r="H129" s="434"/>
      <c r="I129" s="434"/>
      <c r="J129" s="434"/>
      <c r="K129" s="434"/>
      <c r="L129" s="434"/>
      <c r="N129" s="602" t="str">
        <f>IF(H132='4ابلاغی'!H148," ","مغایرت جمع ستون علی الحساب با علی الحساب فرم 4 ابلاغی")</f>
        <v xml:space="preserve"> </v>
      </c>
      <c r="O129" s="602"/>
      <c r="P129" s="602"/>
      <c r="Q129" s="602"/>
      <c r="R129" s="602"/>
      <c r="S129" s="602"/>
      <c r="T129" s="602"/>
    </row>
    <row r="130" spans="1:20" ht="29.25" customHeight="1">
      <c r="A130" s="285" t="s">
        <v>46</v>
      </c>
      <c r="B130" s="434"/>
      <c r="C130" s="409">
        <f t="shared" si="66"/>
        <v>0</v>
      </c>
      <c r="D130" s="244">
        <f t="shared" si="67"/>
        <v>0</v>
      </c>
      <c r="E130" s="434"/>
      <c r="F130" s="434"/>
      <c r="G130" s="434"/>
      <c r="H130" s="434"/>
      <c r="I130" s="434"/>
      <c r="J130" s="434"/>
      <c r="K130" s="434"/>
      <c r="L130" s="434"/>
      <c r="N130" s="602" t="str">
        <f>IF(K132='4ابلاغی'!K148," ","مغایرت جمع ستون واریزی به خزانه با واریزی به خزانه فرم 4 ابلاغی")</f>
        <v xml:space="preserve"> </v>
      </c>
      <c r="O130" s="602"/>
      <c r="P130" s="602"/>
      <c r="Q130" s="602"/>
      <c r="R130" s="602"/>
      <c r="S130" s="602"/>
      <c r="T130" s="602"/>
    </row>
    <row r="131" spans="1:20" ht="29.25" customHeight="1" thickBot="1">
      <c r="A131" s="286" t="s">
        <v>47</v>
      </c>
      <c r="B131" s="434"/>
      <c r="C131" s="245">
        <f t="shared" si="66"/>
        <v>0</v>
      </c>
      <c r="D131" s="245">
        <f t="shared" si="67"/>
        <v>0</v>
      </c>
      <c r="E131" s="434"/>
      <c r="F131" s="434"/>
      <c r="G131" s="434"/>
      <c r="H131" s="434"/>
      <c r="I131" s="434"/>
      <c r="J131" s="434"/>
      <c r="K131" s="434"/>
      <c r="L131" s="434"/>
      <c r="N131" s="602" t="str">
        <f>IF(L132='4ابلاغی'!L148," ","مغایرت جمع ستون انتقالی با انتقالی فرم 4 ابلاغی")</f>
        <v xml:space="preserve"> </v>
      </c>
      <c r="O131" s="602"/>
      <c r="P131" s="602"/>
      <c r="Q131" s="602"/>
      <c r="R131" s="602"/>
      <c r="S131" s="602"/>
      <c r="T131" s="602"/>
    </row>
    <row r="132" spans="1:20" ht="33" customHeight="1" thickBot="1">
      <c r="A132" s="280" t="s">
        <v>7</v>
      </c>
      <c r="B132" s="355">
        <f>SUM(B125:B131)</f>
        <v>0</v>
      </c>
      <c r="C132" s="355">
        <f t="shared" ref="C132:L132" si="68">SUM(C125:C131)</f>
        <v>0</v>
      </c>
      <c r="D132" s="355">
        <f t="shared" si="68"/>
        <v>0</v>
      </c>
      <c r="E132" s="355">
        <f t="shared" si="68"/>
        <v>0</v>
      </c>
      <c r="F132" s="355">
        <f t="shared" si="68"/>
        <v>0</v>
      </c>
      <c r="G132" s="355">
        <f t="shared" si="68"/>
        <v>0</v>
      </c>
      <c r="H132" s="355">
        <f t="shared" si="68"/>
        <v>0</v>
      </c>
      <c r="I132" s="355">
        <f t="shared" si="68"/>
        <v>0</v>
      </c>
      <c r="J132" s="355">
        <f t="shared" si="68"/>
        <v>0</v>
      </c>
      <c r="K132" s="355">
        <f t="shared" si="68"/>
        <v>0</v>
      </c>
      <c r="L132" s="75">
        <f t="shared" si="68"/>
        <v>0</v>
      </c>
      <c r="M132" s="168"/>
      <c r="N132" s="602"/>
      <c r="O132" s="602"/>
      <c r="P132" s="602"/>
      <c r="Q132" s="602"/>
      <c r="R132" s="602"/>
      <c r="S132" s="602"/>
      <c r="T132" s="602"/>
    </row>
    <row r="133" spans="1:20" s="200" customFormat="1" ht="42.75" customHeight="1" thickTop="1">
      <c r="A133" s="671" t="s">
        <v>21</v>
      </c>
      <c r="B133" s="671"/>
      <c r="C133" s="240">
        <f>'صفحه اصلی'!C10</f>
        <v>0</v>
      </c>
      <c r="D133" s="671" t="s">
        <v>8</v>
      </c>
      <c r="E133" s="671"/>
      <c r="F133" s="239">
        <f>'صفحه اصلی'!C11</f>
        <v>0</v>
      </c>
      <c r="G133" s="349"/>
      <c r="H133" s="348" t="s">
        <v>9</v>
      </c>
      <c r="I133" s="240">
        <f>'صفحه اصلی'!C12</f>
        <v>0</v>
      </c>
      <c r="J133" s="348"/>
      <c r="K133" s="360" t="s">
        <v>10</v>
      </c>
      <c r="L133" s="352">
        <f>'صفحه اصلی'!C13</f>
        <v>0</v>
      </c>
      <c r="N133" s="90"/>
      <c r="O133" s="90"/>
      <c r="P133" s="90"/>
      <c r="Q133" s="90"/>
      <c r="R133" s="90"/>
      <c r="S133" s="90"/>
      <c r="T133" s="90"/>
    </row>
    <row r="134" spans="1:20" ht="30" customHeight="1" thickBot="1">
      <c r="A134" s="587" t="s">
        <v>19</v>
      </c>
      <c r="B134" s="587"/>
      <c r="C134" s="587"/>
      <c r="D134" s="587"/>
      <c r="E134" s="587"/>
      <c r="F134" s="587"/>
      <c r="G134" s="587"/>
      <c r="H134" s="587"/>
      <c r="I134" s="587"/>
      <c r="J134" s="587"/>
      <c r="K134" s="587"/>
      <c r="L134" s="266" t="s">
        <v>39</v>
      </c>
    </row>
    <row r="135" spans="1:20" ht="30.75" customHeight="1" thickTop="1" thickBot="1">
      <c r="A135" s="582" t="s">
        <v>391</v>
      </c>
      <c r="B135" s="583"/>
      <c r="C135" s="583"/>
      <c r="D135" s="583"/>
      <c r="E135" s="583"/>
      <c r="F135" s="583"/>
      <c r="G135" s="583"/>
      <c r="H135" s="583"/>
      <c r="I135" s="583"/>
      <c r="J135" s="583"/>
      <c r="K135" s="583"/>
      <c r="L135" s="584"/>
    </row>
    <row r="136" spans="1:20" ht="28.5" customHeight="1" thickBot="1">
      <c r="A136" s="203" t="s">
        <v>11</v>
      </c>
      <c r="B136" s="680"/>
      <c r="C136" s="680"/>
      <c r="D136" s="680"/>
      <c r="E136" s="680"/>
      <c r="F136" s="680"/>
      <c r="G136" s="680"/>
      <c r="H136" s="680"/>
      <c r="I136" s="680"/>
      <c r="J136" s="680"/>
      <c r="K136" s="680"/>
      <c r="L136" s="681"/>
    </row>
    <row r="137" spans="1:20" s="4" customFormat="1" ht="38.25" customHeight="1" thickTop="1">
      <c r="A137" s="646" t="s">
        <v>40</v>
      </c>
      <c r="B137" s="646"/>
      <c r="C137" s="646"/>
      <c r="D137" s="646"/>
      <c r="E137" s="646"/>
      <c r="F137" s="646"/>
      <c r="G137" s="646"/>
      <c r="H137" s="646"/>
      <c r="I137" s="646"/>
      <c r="J137" s="646"/>
      <c r="K137" s="646"/>
      <c r="L137" s="646"/>
      <c r="N137" s="92"/>
      <c r="O137" s="92"/>
      <c r="P137" s="92"/>
      <c r="Q137" s="92"/>
      <c r="R137" s="92"/>
      <c r="S137" s="92"/>
      <c r="T137" s="92"/>
    </row>
    <row r="138" spans="1:20" s="67" customFormat="1" ht="30" customHeight="1">
      <c r="A138" s="611" t="s">
        <v>0</v>
      </c>
      <c r="B138" s="611"/>
      <c r="C138" s="241">
        <f>'صفحه اصلی'!C7</f>
        <v>0</v>
      </c>
      <c r="D138" s="241"/>
      <c r="E138" s="241"/>
      <c r="F138" s="241"/>
      <c r="G138" s="241"/>
      <c r="H138" s="241"/>
      <c r="I138" s="241"/>
      <c r="J138" s="241"/>
      <c r="K138" s="241"/>
      <c r="L138" s="241"/>
      <c r="N138" s="93"/>
      <c r="O138" s="93"/>
      <c r="P138" s="93"/>
      <c r="Q138" s="93"/>
      <c r="R138" s="93"/>
      <c r="S138" s="93"/>
      <c r="T138" s="93"/>
    </row>
    <row r="139" spans="1:20" s="67" customFormat="1" ht="31.5" customHeight="1" thickBot="1">
      <c r="A139" s="612" t="s">
        <v>1</v>
      </c>
      <c r="B139" s="612"/>
      <c r="C139" s="359">
        <f>'صفحه اصلی'!C8</f>
        <v>0</v>
      </c>
      <c r="D139" s="356" t="s">
        <v>31</v>
      </c>
      <c r="E139" s="411">
        <f>'4ابلاغی'!E155</f>
        <v>0</v>
      </c>
      <c r="F139" s="408"/>
      <c r="G139" s="356" t="s">
        <v>53</v>
      </c>
      <c r="H139" s="359">
        <f>'صفحه اصلی'!C9</f>
        <v>0</v>
      </c>
      <c r="I139" s="359"/>
      <c r="J139" s="359"/>
      <c r="K139" s="359"/>
      <c r="L139" s="347"/>
      <c r="N139" s="93"/>
      <c r="O139" s="93"/>
      <c r="P139" s="93"/>
      <c r="Q139" s="93"/>
      <c r="R139" s="93"/>
      <c r="S139" s="93"/>
      <c r="T139" s="93"/>
    </row>
    <row r="140" spans="1:20" s="200" customFormat="1" ht="24" customHeight="1" thickTop="1">
      <c r="A140" s="684" t="s">
        <v>23</v>
      </c>
      <c r="B140" s="686" t="s">
        <v>16</v>
      </c>
      <c r="C140" s="686" t="s">
        <v>32</v>
      </c>
      <c r="D140" s="686" t="s">
        <v>33</v>
      </c>
      <c r="E140" s="687" t="s">
        <v>34</v>
      </c>
      <c r="F140" s="687" t="s">
        <v>35</v>
      </c>
      <c r="G140" s="686" t="s">
        <v>384</v>
      </c>
      <c r="H140" s="686" t="s">
        <v>2</v>
      </c>
      <c r="I140" s="642" t="s">
        <v>68</v>
      </c>
      <c r="J140" s="642" t="s">
        <v>69</v>
      </c>
      <c r="K140" s="642" t="s">
        <v>61</v>
      </c>
      <c r="L140" s="689" t="s">
        <v>3</v>
      </c>
      <c r="N140" s="90"/>
      <c r="O140" s="90"/>
      <c r="P140" s="90"/>
      <c r="Q140" s="90"/>
      <c r="R140" s="90"/>
      <c r="S140" s="90"/>
      <c r="T140" s="90"/>
    </row>
    <row r="141" spans="1:20" s="200" customFormat="1" ht="24" customHeight="1" thickBot="1">
      <c r="A141" s="685"/>
      <c r="B141" s="649"/>
      <c r="C141" s="649"/>
      <c r="D141" s="649"/>
      <c r="E141" s="688"/>
      <c r="F141" s="688"/>
      <c r="G141" s="649"/>
      <c r="H141" s="649"/>
      <c r="I141" s="649"/>
      <c r="J141" s="643"/>
      <c r="K141" s="643"/>
      <c r="L141" s="645"/>
      <c r="N141" s="90"/>
      <c r="O141" s="90"/>
      <c r="P141" s="90"/>
      <c r="Q141" s="90"/>
      <c r="R141" s="90"/>
      <c r="S141" s="90"/>
      <c r="T141" s="90"/>
    </row>
    <row r="142" spans="1:20" ht="29.25" customHeight="1">
      <c r="A142" s="282" t="s">
        <v>41</v>
      </c>
      <c r="B142" s="434"/>
      <c r="C142" s="412">
        <f t="shared" ref="C142:C148" si="69">B142</f>
        <v>0</v>
      </c>
      <c r="D142" s="407">
        <f>SUM(E142:J142)</f>
        <v>0</v>
      </c>
      <c r="E142" s="434"/>
      <c r="F142" s="434"/>
      <c r="G142" s="434"/>
      <c r="H142" s="434"/>
      <c r="I142" s="434"/>
      <c r="J142" s="434"/>
      <c r="K142" s="434"/>
      <c r="L142" s="434"/>
      <c r="N142" s="602" t="str">
        <f>IF(B149='4ابلاغی'!B166," ","مغایرت جمع ستون اعتبار اصلاحی با اعتبار اصلاحی فرم 4 ابلاغی")</f>
        <v xml:space="preserve"> </v>
      </c>
      <c r="O142" s="602"/>
      <c r="P142" s="602"/>
      <c r="Q142" s="602"/>
      <c r="R142" s="602"/>
      <c r="S142" s="602"/>
      <c r="T142" s="602"/>
    </row>
    <row r="143" spans="1:20" ht="29.25" customHeight="1">
      <c r="A143" s="284" t="s">
        <v>42</v>
      </c>
      <c r="B143" s="434"/>
      <c r="C143" s="412">
        <f t="shared" si="69"/>
        <v>0</v>
      </c>
      <c r="D143" s="412">
        <f t="shared" ref="D143:D148" si="70">SUM(E143:J143)</f>
        <v>0</v>
      </c>
      <c r="E143" s="434"/>
      <c r="F143" s="434"/>
      <c r="G143" s="434"/>
      <c r="H143" s="434"/>
      <c r="I143" s="434"/>
      <c r="J143" s="434"/>
      <c r="K143" s="434"/>
      <c r="L143" s="434"/>
      <c r="N143" s="602" t="str">
        <f>IF(D149='4ابلاغی'!D166," ","مغایرت جمع ستون کنترل تخصیص با کنترل تخصیص فرم 4 ابلاغی")</f>
        <v xml:space="preserve"> </v>
      </c>
      <c r="O143" s="602"/>
      <c r="P143" s="602"/>
      <c r="Q143" s="602"/>
      <c r="R143" s="602"/>
      <c r="S143" s="602"/>
      <c r="T143" s="602"/>
    </row>
    <row r="144" spans="1:20" ht="29.25" customHeight="1">
      <c r="A144" s="284" t="s">
        <v>43</v>
      </c>
      <c r="B144" s="434"/>
      <c r="C144" s="413">
        <f t="shared" si="69"/>
        <v>0</v>
      </c>
      <c r="D144" s="412">
        <f t="shared" si="70"/>
        <v>0</v>
      </c>
      <c r="E144" s="434"/>
      <c r="F144" s="434"/>
      <c r="G144" s="434"/>
      <c r="H144" s="434"/>
      <c r="I144" s="434"/>
      <c r="J144" s="434"/>
      <c r="K144" s="434"/>
      <c r="L144" s="434"/>
      <c r="N144" s="602" t="str">
        <f>IF(E149='4ابلاغی'!E166," ","مغایرت جمع ستون هزینه با هزینه فرم 4 ابلاغی")</f>
        <v xml:space="preserve"> </v>
      </c>
      <c r="O144" s="602"/>
      <c r="P144" s="602"/>
      <c r="Q144" s="602"/>
      <c r="R144" s="602"/>
      <c r="S144" s="602"/>
      <c r="T144" s="602"/>
    </row>
    <row r="145" spans="1:20" ht="29.25" customHeight="1">
      <c r="A145" s="285" t="s">
        <v>44</v>
      </c>
      <c r="B145" s="434"/>
      <c r="C145" s="414">
        <f t="shared" si="69"/>
        <v>0</v>
      </c>
      <c r="D145" s="412">
        <f t="shared" si="70"/>
        <v>0</v>
      </c>
      <c r="E145" s="434"/>
      <c r="F145" s="434"/>
      <c r="G145" s="434"/>
      <c r="H145" s="434"/>
      <c r="I145" s="434"/>
      <c r="J145" s="434"/>
      <c r="K145" s="434"/>
      <c r="L145" s="434"/>
      <c r="N145" s="602" t="str">
        <f>IF(F149='4ابلاغی'!F166," ","مغایرت جمع ستون پیش پرداخت با پیش پرداخت فرم 4 ابلاغی")</f>
        <v xml:space="preserve"> </v>
      </c>
      <c r="O145" s="602"/>
      <c r="P145" s="602"/>
      <c r="Q145" s="602"/>
      <c r="R145" s="602"/>
      <c r="S145" s="602"/>
      <c r="T145" s="602"/>
    </row>
    <row r="146" spans="1:20" ht="29.25" customHeight="1">
      <c r="A146" s="285" t="s">
        <v>45</v>
      </c>
      <c r="B146" s="434"/>
      <c r="C146" s="412">
        <f t="shared" si="69"/>
        <v>0</v>
      </c>
      <c r="D146" s="412">
        <f t="shared" si="70"/>
        <v>0</v>
      </c>
      <c r="E146" s="434"/>
      <c r="F146" s="434"/>
      <c r="G146" s="434"/>
      <c r="H146" s="434"/>
      <c r="I146" s="434"/>
      <c r="J146" s="434"/>
      <c r="K146" s="434"/>
      <c r="L146" s="434"/>
      <c r="N146" s="602" t="str">
        <f>IF(H149='4ابلاغی'!H166," ","مغایرت جمع ستون علی الحساب با علی الحساب فرم 4 ابلاغی")</f>
        <v xml:space="preserve"> </v>
      </c>
      <c r="O146" s="602"/>
      <c r="P146" s="602"/>
      <c r="Q146" s="602"/>
      <c r="R146" s="602"/>
      <c r="S146" s="602"/>
      <c r="T146" s="602"/>
    </row>
    <row r="147" spans="1:20" ht="29.25" customHeight="1">
      <c r="A147" s="285" t="s">
        <v>46</v>
      </c>
      <c r="B147" s="434"/>
      <c r="C147" s="413">
        <f t="shared" si="69"/>
        <v>0</v>
      </c>
      <c r="D147" s="412">
        <f t="shared" si="70"/>
        <v>0</v>
      </c>
      <c r="E147" s="434"/>
      <c r="F147" s="434"/>
      <c r="G147" s="434"/>
      <c r="H147" s="434"/>
      <c r="I147" s="434"/>
      <c r="J147" s="434"/>
      <c r="K147" s="434"/>
      <c r="L147" s="434"/>
      <c r="N147" s="602" t="str">
        <f>IF(K149='4ابلاغی'!K166," ","مغایرت جمع ستون واریزی به خزانه با واریزی به خزانه فرم 4 ابلاغی")</f>
        <v xml:space="preserve"> </v>
      </c>
      <c r="O147" s="602"/>
      <c r="P147" s="602"/>
      <c r="Q147" s="602"/>
      <c r="R147" s="602"/>
      <c r="S147" s="602"/>
      <c r="T147" s="602"/>
    </row>
    <row r="148" spans="1:20" ht="29.25" customHeight="1" thickBot="1">
      <c r="A148" s="286" t="s">
        <v>47</v>
      </c>
      <c r="B148" s="434"/>
      <c r="C148" s="229">
        <f t="shared" si="69"/>
        <v>0</v>
      </c>
      <c r="D148" s="229">
        <f t="shared" si="70"/>
        <v>0</v>
      </c>
      <c r="E148" s="434"/>
      <c r="F148" s="434"/>
      <c r="G148" s="434"/>
      <c r="H148" s="434"/>
      <c r="I148" s="434"/>
      <c r="J148" s="434"/>
      <c r="K148" s="434"/>
      <c r="L148" s="434"/>
      <c r="N148" s="602" t="str">
        <f>IF(L149='4ابلاغی'!L166," ","مغایرت جمع ستون انتقالی با انتقالی فرم 4 ابلاغی")</f>
        <v xml:space="preserve"> </v>
      </c>
      <c r="O148" s="602"/>
      <c r="P148" s="602"/>
      <c r="Q148" s="602"/>
      <c r="R148" s="602"/>
      <c r="S148" s="602"/>
      <c r="T148" s="602"/>
    </row>
    <row r="149" spans="1:20" ht="33" customHeight="1" thickBot="1">
      <c r="A149" s="280" t="s">
        <v>7</v>
      </c>
      <c r="B149" s="355">
        <f>SUM(B142:B148)</f>
        <v>0</v>
      </c>
      <c r="C149" s="355">
        <f t="shared" ref="C149:L149" si="71">SUM(C142:C148)</f>
        <v>0</v>
      </c>
      <c r="D149" s="355">
        <f t="shared" si="71"/>
        <v>0</v>
      </c>
      <c r="E149" s="355">
        <f t="shared" si="71"/>
        <v>0</v>
      </c>
      <c r="F149" s="355">
        <f t="shared" si="71"/>
        <v>0</v>
      </c>
      <c r="G149" s="355">
        <f t="shared" si="71"/>
        <v>0</v>
      </c>
      <c r="H149" s="355">
        <f t="shared" si="71"/>
        <v>0</v>
      </c>
      <c r="I149" s="355">
        <f t="shared" si="71"/>
        <v>0</v>
      </c>
      <c r="J149" s="355">
        <f t="shared" si="71"/>
        <v>0</v>
      </c>
      <c r="K149" s="355">
        <f t="shared" si="71"/>
        <v>0</v>
      </c>
      <c r="L149" s="75">
        <f t="shared" si="71"/>
        <v>0</v>
      </c>
      <c r="M149" s="168"/>
      <c r="N149" s="602"/>
      <c r="O149" s="602"/>
      <c r="P149" s="602"/>
      <c r="Q149" s="602"/>
      <c r="R149" s="602"/>
      <c r="S149" s="602"/>
      <c r="T149" s="602"/>
    </row>
    <row r="150" spans="1:20" s="200" customFormat="1" ht="42.75" customHeight="1" thickTop="1">
      <c r="A150" s="671" t="s">
        <v>21</v>
      </c>
      <c r="B150" s="671"/>
      <c r="C150" s="240">
        <f>'صفحه اصلی'!C10</f>
        <v>0</v>
      </c>
      <c r="D150" s="671" t="s">
        <v>8</v>
      </c>
      <c r="E150" s="671"/>
      <c r="F150" s="239">
        <f>'صفحه اصلی'!C11</f>
        <v>0</v>
      </c>
      <c r="G150" s="349"/>
      <c r="H150" s="348" t="s">
        <v>9</v>
      </c>
      <c r="I150" s="240">
        <f>'صفحه اصلی'!C12</f>
        <v>0</v>
      </c>
      <c r="J150" s="348"/>
      <c r="K150" s="360" t="s">
        <v>10</v>
      </c>
      <c r="L150" s="352">
        <f>'صفحه اصلی'!C13</f>
        <v>0</v>
      </c>
      <c r="N150" s="90"/>
      <c r="O150" s="90"/>
      <c r="P150" s="90"/>
      <c r="Q150" s="90"/>
      <c r="R150" s="90"/>
      <c r="S150" s="90"/>
      <c r="T150" s="90"/>
    </row>
    <row r="151" spans="1:20" ht="30" customHeight="1" thickBot="1">
      <c r="A151" s="587" t="s">
        <v>19</v>
      </c>
      <c r="B151" s="587"/>
      <c r="C151" s="587"/>
      <c r="D151" s="587"/>
      <c r="E151" s="587"/>
      <c r="F151" s="587"/>
      <c r="G151" s="587"/>
      <c r="H151" s="587"/>
      <c r="I151" s="587"/>
      <c r="J151" s="587"/>
      <c r="K151" s="587"/>
      <c r="L151" s="266" t="s">
        <v>39</v>
      </c>
    </row>
    <row r="152" spans="1:20" ht="30.75" customHeight="1" thickTop="1" thickBot="1">
      <c r="A152" s="582" t="s">
        <v>391</v>
      </c>
      <c r="B152" s="583"/>
      <c r="C152" s="583"/>
      <c r="D152" s="583"/>
      <c r="E152" s="583"/>
      <c r="F152" s="583"/>
      <c r="G152" s="583"/>
      <c r="H152" s="583"/>
      <c r="I152" s="583"/>
      <c r="J152" s="583"/>
      <c r="K152" s="583"/>
      <c r="L152" s="584"/>
    </row>
    <row r="153" spans="1:20" ht="28.5" customHeight="1" thickBot="1">
      <c r="A153" s="203" t="s">
        <v>11</v>
      </c>
      <c r="B153" s="680"/>
      <c r="C153" s="680"/>
      <c r="D153" s="680"/>
      <c r="E153" s="680"/>
      <c r="F153" s="680"/>
      <c r="G153" s="680"/>
      <c r="H153" s="680"/>
      <c r="I153" s="680"/>
      <c r="J153" s="680"/>
      <c r="K153" s="680"/>
      <c r="L153" s="681"/>
    </row>
    <row r="154" spans="1:20" s="4" customFormat="1" ht="38.25" customHeight="1" thickTop="1">
      <c r="A154" s="646" t="s">
        <v>40</v>
      </c>
      <c r="B154" s="646"/>
      <c r="C154" s="646"/>
      <c r="D154" s="646"/>
      <c r="E154" s="646"/>
      <c r="F154" s="646"/>
      <c r="G154" s="646"/>
      <c r="H154" s="646"/>
      <c r="I154" s="646"/>
      <c r="J154" s="646"/>
      <c r="K154" s="646"/>
      <c r="L154" s="646"/>
      <c r="N154" s="92"/>
      <c r="O154" s="92"/>
      <c r="P154" s="92"/>
      <c r="Q154" s="92"/>
      <c r="R154" s="92"/>
      <c r="S154" s="92"/>
      <c r="T154" s="92"/>
    </row>
    <row r="155" spans="1:20" s="67" customFormat="1" ht="30" customHeight="1">
      <c r="A155" s="611" t="s">
        <v>0</v>
      </c>
      <c r="B155" s="611"/>
      <c r="C155" s="241">
        <f>'صفحه اصلی'!C7</f>
        <v>0</v>
      </c>
      <c r="D155" s="241"/>
      <c r="E155" s="241"/>
      <c r="F155" s="241"/>
      <c r="G155" s="241"/>
      <c r="H155" s="241"/>
      <c r="I155" s="241"/>
      <c r="J155" s="241"/>
      <c r="K155" s="241"/>
      <c r="L155" s="241"/>
      <c r="N155" s="93"/>
      <c r="O155" s="93"/>
      <c r="P155" s="93"/>
      <c r="Q155" s="93"/>
      <c r="R155" s="93"/>
      <c r="S155" s="93"/>
      <c r="T155" s="93"/>
    </row>
    <row r="156" spans="1:20" s="67" customFormat="1" ht="31.5" customHeight="1" thickBot="1">
      <c r="A156" s="612" t="s">
        <v>1</v>
      </c>
      <c r="B156" s="612"/>
      <c r="C156" s="359">
        <f>'صفحه اصلی'!C8</f>
        <v>0</v>
      </c>
      <c r="D156" s="356" t="s">
        <v>31</v>
      </c>
      <c r="E156" s="290">
        <f>'4ابلاغی'!E173</f>
        <v>0</v>
      </c>
      <c r="F156" s="408"/>
      <c r="G156" s="356" t="s">
        <v>53</v>
      </c>
      <c r="H156" s="359">
        <f>'صفحه اصلی'!C9</f>
        <v>0</v>
      </c>
      <c r="I156" s="359"/>
      <c r="J156" s="359"/>
      <c r="K156" s="359"/>
      <c r="L156" s="347"/>
      <c r="N156" s="93"/>
      <c r="O156" s="93"/>
      <c r="P156" s="93"/>
      <c r="Q156" s="93"/>
      <c r="R156" s="93"/>
      <c r="S156" s="93"/>
      <c r="T156" s="93"/>
    </row>
    <row r="157" spans="1:20" s="200" customFormat="1" ht="24" customHeight="1" thickTop="1">
      <c r="A157" s="684" t="s">
        <v>23</v>
      </c>
      <c r="B157" s="686" t="s">
        <v>16</v>
      </c>
      <c r="C157" s="686" t="s">
        <v>32</v>
      </c>
      <c r="D157" s="686" t="s">
        <v>33</v>
      </c>
      <c r="E157" s="687" t="s">
        <v>34</v>
      </c>
      <c r="F157" s="687" t="s">
        <v>35</v>
      </c>
      <c r="G157" s="686" t="s">
        <v>384</v>
      </c>
      <c r="H157" s="686" t="s">
        <v>2</v>
      </c>
      <c r="I157" s="642" t="s">
        <v>68</v>
      </c>
      <c r="J157" s="642" t="s">
        <v>69</v>
      </c>
      <c r="K157" s="642" t="s">
        <v>61</v>
      </c>
      <c r="L157" s="689" t="s">
        <v>3</v>
      </c>
      <c r="N157" s="90"/>
      <c r="O157" s="90"/>
      <c r="P157" s="90"/>
      <c r="Q157" s="90"/>
      <c r="R157" s="90"/>
      <c r="S157" s="90"/>
      <c r="T157" s="90"/>
    </row>
    <row r="158" spans="1:20" s="200" customFormat="1" ht="24" customHeight="1" thickBot="1">
      <c r="A158" s="685"/>
      <c r="B158" s="649"/>
      <c r="C158" s="649"/>
      <c r="D158" s="649"/>
      <c r="E158" s="688"/>
      <c r="F158" s="688"/>
      <c r="G158" s="649"/>
      <c r="H158" s="649"/>
      <c r="I158" s="649"/>
      <c r="J158" s="643"/>
      <c r="K158" s="643"/>
      <c r="L158" s="645"/>
      <c r="N158" s="90"/>
      <c r="O158" s="90"/>
      <c r="P158" s="90"/>
      <c r="Q158" s="90"/>
      <c r="R158" s="90"/>
      <c r="S158" s="90"/>
      <c r="T158" s="90"/>
    </row>
    <row r="159" spans="1:20" ht="29.25" customHeight="1">
      <c r="A159" s="282" t="s">
        <v>41</v>
      </c>
      <c r="B159" s="434"/>
      <c r="C159" s="412">
        <f t="shared" ref="C159:C165" si="72">B159</f>
        <v>0</v>
      </c>
      <c r="D159" s="407">
        <f>SUM(E159:J159)</f>
        <v>0</v>
      </c>
      <c r="E159" s="434"/>
      <c r="F159" s="434"/>
      <c r="G159" s="434"/>
      <c r="H159" s="434"/>
      <c r="I159" s="434"/>
      <c r="J159" s="434"/>
      <c r="K159" s="434"/>
      <c r="L159" s="434"/>
      <c r="N159" s="602" t="str">
        <f>IF(B166='4ابلاغی'!B184," ","مغایرت جمع ستون اعتبار اصلاحی با اعتبار اصلاحی فرم 4 ابلاغی")</f>
        <v xml:space="preserve"> </v>
      </c>
      <c r="O159" s="602"/>
      <c r="P159" s="602"/>
      <c r="Q159" s="602"/>
      <c r="R159" s="602"/>
      <c r="S159" s="602"/>
      <c r="T159" s="602"/>
    </row>
    <row r="160" spans="1:20" ht="29.25" customHeight="1">
      <c r="A160" s="284" t="s">
        <v>42</v>
      </c>
      <c r="B160" s="434"/>
      <c r="C160" s="412">
        <f t="shared" si="72"/>
        <v>0</v>
      </c>
      <c r="D160" s="412">
        <f t="shared" ref="D160:D165" si="73">SUM(E160:J160)</f>
        <v>0</v>
      </c>
      <c r="E160" s="434"/>
      <c r="F160" s="434"/>
      <c r="G160" s="434"/>
      <c r="H160" s="434"/>
      <c r="I160" s="434"/>
      <c r="J160" s="434"/>
      <c r="K160" s="434"/>
      <c r="L160" s="434"/>
      <c r="N160" s="602" t="str">
        <f>IF(D166='4ابلاغی'!D184," ","مغایرت جمع ستون کنترل تخصیص با کنترل تخصیص فرم 4 ابلاغی")</f>
        <v xml:space="preserve"> </v>
      </c>
      <c r="O160" s="602"/>
      <c r="P160" s="602"/>
      <c r="Q160" s="602"/>
      <c r="R160" s="602"/>
      <c r="S160" s="602"/>
      <c r="T160" s="602"/>
    </row>
    <row r="161" spans="1:20" ht="29.25" customHeight="1">
      <c r="A161" s="284" t="s">
        <v>43</v>
      </c>
      <c r="B161" s="434"/>
      <c r="C161" s="413">
        <f t="shared" si="72"/>
        <v>0</v>
      </c>
      <c r="D161" s="412">
        <f t="shared" si="73"/>
        <v>0</v>
      </c>
      <c r="E161" s="434"/>
      <c r="F161" s="434"/>
      <c r="G161" s="434"/>
      <c r="H161" s="434"/>
      <c r="I161" s="434"/>
      <c r="J161" s="434"/>
      <c r="K161" s="434"/>
      <c r="L161" s="434"/>
      <c r="N161" s="602" t="str">
        <f>IF(E166='4ابلاغی'!E184," ","مغایرت جمع ستون هزینه با هزینه فرم 4 ابلاغی")</f>
        <v xml:space="preserve"> </v>
      </c>
      <c r="O161" s="602"/>
      <c r="P161" s="602"/>
      <c r="Q161" s="602"/>
      <c r="R161" s="602"/>
      <c r="S161" s="602"/>
      <c r="T161" s="602"/>
    </row>
    <row r="162" spans="1:20" ht="29.25" customHeight="1">
      <c r="A162" s="285" t="s">
        <v>44</v>
      </c>
      <c r="B162" s="434"/>
      <c r="C162" s="414">
        <f t="shared" si="72"/>
        <v>0</v>
      </c>
      <c r="D162" s="412">
        <f t="shared" si="73"/>
        <v>0</v>
      </c>
      <c r="E162" s="434"/>
      <c r="F162" s="434"/>
      <c r="G162" s="434"/>
      <c r="H162" s="434"/>
      <c r="I162" s="434"/>
      <c r="J162" s="434"/>
      <c r="K162" s="434"/>
      <c r="L162" s="434"/>
      <c r="N162" s="602" t="str">
        <f>IF(F166='4ابلاغی'!F184," ","مغایرت جمع ستون پیش پرداخت با پیش پرداخت فرم 4 ابلاغی")</f>
        <v xml:space="preserve"> </v>
      </c>
      <c r="O162" s="602"/>
      <c r="P162" s="602"/>
      <c r="Q162" s="602"/>
      <c r="R162" s="602"/>
      <c r="S162" s="602"/>
      <c r="T162" s="602"/>
    </row>
    <row r="163" spans="1:20" ht="29.25" customHeight="1">
      <c r="A163" s="285" t="s">
        <v>45</v>
      </c>
      <c r="B163" s="434"/>
      <c r="C163" s="412">
        <f t="shared" si="72"/>
        <v>0</v>
      </c>
      <c r="D163" s="412">
        <f t="shared" si="73"/>
        <v>0</v>
      </c>
      <c r="E163" s="434"/>
      <c r="F163" s="434"/>
      <c r="G163" s="434"/>
      <c r="H163" s="434"/>
      <c r="I163" s="434"/>
      <c r="J163" s="434"/>
      <c r="K163" s="434"/>
      <c r="L163" s="434"/>
      <c r="N163" s="602" t="str">
        <f>IF(H166='4ابلاغی'!H184," ","مغایرت جمع ستون علی الحساب با علی الحساب فرم 4 ابلاغی")</f>
        <v xml:space="preserve"> </v>
      </c>
      <c r="O163" s="602"/>
      <c r="P163" s="602"/>
      <c r="Q163" s="602"/>
      <c r="R163" s="602"/>
      <c r="S163" s="602"/>
      <c r="T163" s="602"/>
    </row>
    <row r="164" spans="1:20" ht="29.25" customHeight="1">
      <c r="A164" s="285" t="s">
        <v>46</v>
      </c>
      <c r="B164" s="434"/>
      <c r="C164" s="413">
        <f t="shared" si="72"/>
        <v>0</v>
      </c>
      <c r="D164" s="412">
        <f t="shared" si="73"/>
        <v>0</v>
      </c>
      <c r="E164" s="434"/>
      <c r="F164" s="434"/>
      <c r="G164" s="434"/>
      <c r="H164" s="434"/>
      <c r="I164" s="434"/>
      <c r="J164" s="434"/>
      <c r="K164" s="434"/>
      <c r="L164" s="434"/>
      <c r="N164" s="602" t="str">
        <f>IF(K166='4ابلاغی'!K184," ","مغایرت جمع ستون واریزی به خزانه با واریزی به خزانه فرم 4 ابلاغی")</f>
        <v xml:space="preserve"> </v>
      </c>
      <c r="O164" s="602"/>
      <c r="P164" s="602"/>
      <c r="Q164" s="602"/>
      <c r="R164" s="602"/>
      <c r="S164" s="602"/>
      <c r="T164" s="602"/>
    </row>
    <row r="165" spans="1:20" ht="29.25" customHeight="1" thickBot="1">
      <c r="A165" s="286" t="s">
        <v>47</v>
      </c>
      <c r="B165" s="434"/>
      <c r="C165" s="229">
        <f t="shared" si="72"/>
        <v>0</v>
      </c>
      <c r="D165" s="229">
        <f t="shared" si="73"/>
        <v>0</v>
      </c>
      <c r="E165" s="434"/>
      <c r="F165" s="434"/>
      <c r="G165" s="434"/>
      <c r="H165" s="434"/>
      <c r="I165" s="434"/>
      <c r="J165" s="434"/>
      <c r="K165" s="434"/>
      <c r="L165" s="434"/>
      <c r="N165" s="602" t="str">
        <f>IF(L166='4ابلاغی'!L184," ","مغایرت جمع ستون انتقالی با انتقالی فرم 4 ابلاغی")</f>
        <v xml:space="preserve"> </v>
      </c>
      <c r="O165" s="602"/>
      <c r="P165" s="602"/>
      <c r="Q165" s="602"/>
      <c r="R165" s="602"/>
      <c r="S165" s="602"/>
      <c r="T165" s="602"/>
    </row>
    <row r="166" spans="1:20" ht="33" customHeight="1" thickBot="1">
      <c r="A166" s="280" t="s">
        <v>7</v>
      </c>
      <c r="B166" s="355">
        <f>SUM(B159:B165)</f>
        <v>0</v>
      </c>
      <c r="C166" s="355">
        <f t="shared" ref="C166:L166" si="74">SUM(C159:C165)</f>
        <v>0</v>
      </c>
      <c r="D166" s="355">
        <f t="shared" si="74"/>
        <v>0</v>
      </c>
      <c r="E166" s="355">
        <f t="shared" si="74"/>
        <v>0</v>
      </c>
      <c r="F166" s="355">
        <f t="shared" si="74"/>
        <v>0</v>
      </c>
      <c r="G166" s="355">
        <f t="shared" si="74"/>
        <v>0</v>
      </c>
      <c r="H166" s="355">
        <f t="shared" si="74"/>
        <v>0</v>
      </c>
      <c r="I166" s="355">
        <f t="shared" si="74"/>
        <v>0</v>
      </c>
      <c r="J166" s="355">
        <f t="shared" si="74"/>
        <v>0</v>
      </c>
      <c r="K166" s="355">
        <f t="shared" si="74"/>
        <v>0</v>
      </c>
      <c r="L166" s="75">
        <f t="shared" si="74"/>
        <v>0</v>
      </c>
      <c r="M166" s="168"/>
      <c r="N166" s="602"/>
      <c r="O166" s="602"/>
      <c r="P166" s="602"/>
      <c r="Q166" s="602"/>
      <c r="R166" s="602"/>
      <c r="S166" s="602"/>
      <c r="T166" s="602"/>
    </row>
    <row r="167" spans="1:20" s="200" customFormat="1" ht="42.75" customHeight="1" thickTop="1">
      <c r="A167" s="671" t="s">
        <v>21</v>
      </c>
      <c r="B167" s="671"/>
      <c r="C167" s="240">
        <f>'صفحه اصلی'!C10</f>
        <v>0</v>
      </c>
      <c r="D167" s="671" t="s">
        <v>8</v>
      </c>
      <c r="E167" s="671"/>
      <c r="F167" s="239">
        <f>'صفحه اصلی'!C11</f>
        <v>0</v>
      </c>
      <c r="G167" s="349"/>
      <c r="H167" s="348" t="s">
        <v>9</v>
      </c>
      <c r="I167" s="240">
        <f>'صفحه اصلی'!C12</f>
        <v>0</v>
      </c>
      <c r="J167" s="348"/>
      <c r="K167" s="360" t="s">
        <v>10</v>
      </c>
      <c r="L167" s="352">
        <f>'صفحه اصلی'!C13</f>
        <v>0</v>
      </c>
      <c r="N167" s="90"/>
      <c r="O167" s="90"/>
      <c r="P167" s="90"/>
      <c r="Q167" s="90"/>
      <c r="R167" s="90"/>
      <c r="S167" s="90"/>
      <c r="T167" s="90"/>
    </row>
    <row r="168" spans="1:20" ht="30" customHeight="1" thickBot="1">
      <c r="A168" s="587" t="s">
        <v>19</v>
      </c>
      <c r="B168" s="587"/>
      <c r="C168" s="587"/>
      <c r="D168" s="587"/>
      <c r="E168" s="587"/>
      <c r="F168" s="587"/>
      <c r="G168" s="587"/>
      <c r="H168" s="587"/>
      <c r="I168" s="587"/>
      <c r="J168" s="587"/>
      <c r="K168" s="587"/>
      <c r="L168" s="266" t="s">
        <v>39</v>
      </c>
    </row>
    <row r="169" spans="1:20" ht="30.75" customHeight="1" thickTop="1" thickBot="1">
      <c r="A169" s="582" t="s">
        <v>391</v>
      </c>
      <c r="B169" s="583"/>
      <c r="C169" s="583"/>
      <c r="D169" s="583"/>
      <c r="E169" s="583"/>
      <c r="F169" s="583"/>
      <c r="G169" s="583"/>
      <c r="H169" s="583"/>
      <c r="I169" s="583"/>
      <c r="J169" s="583"/>
      <c r="K169" s="583"/>
      <c r="L169" s="584"/>
    </row>
    <row r="170" spans="1:20" ht="28.5" customHeight="1" thickBot="1">
      <c r="A170" s="203" t="s">
        <v>11</v>
      </c>
      <c r="B170" s="680"/>
      <c r="C170" s="680"/>
      <c r="D170" s="680"/>
      <c r="E170" s="680"/>
      <c r="F170" s="680"/>
      <c r="G170" s="680"/>
      <c r="H170" s="680"/>
      <c r="I170" s="680"/>
      <c r="J170" s="680"/>
      <c r="K170" s="680"/>
      <c r="L170" s="681"/>
    </row>
    <row r="171" spans="1:20" ht="21" thickTop="1"/>
  </sheetData>
  <sheetProtection formatCells="0" formatColumns="0" formatRows="0" insertColumns="0" insertRows="0" insertHyperlinks="0" deleteColumns="0" deleteRows="0" sort="0" autoFilter="0" pivotTables="0"/>
  <mergeCells count="280">
    <mergeCell ref="N58:T58"/>
    <mergeCell ref="N59:T59"/>
    <mergeCell ref="N60:T60"/>
    <mergeCell ref="N61:T61"/>
    <mergeCell ref="N62:T62"/>
    <mergeCell ref="N44:T44"/>
    <mergeCell ref="N45:T45"/>
    <mergeCell ref="N46:T46"/>
    <mergeCell ref="N47:T47"/>
    <mergeCell ref="N57:T57"/>
    <mergeCell ref="N80:T80"/>
    <mergeCell ref="N81:T81"/>
    <mergeCell ref="N75:T75"/>
    <mergeCell ref="N76:T76"/>
    <mergeCell ref="N77:T77"/>
    <mergeCell ref="N78:T78"/>
    <mergeCell ref="N79:T79"/>
    <mergeCell ref="N63:T63"/>
    <mergeCell ref="N64:T64"/>
    <mergeCell ref="N74:T74"/>
    <mergeCell ref="N30:T30"/>
    <mergeCell ref="N40:T40"/>
    <mergeCell ref="N41:T41"/>
    <mergeCell ref="N42:T42"/>
    <mergeCell ref="N43:T43"/>
    <mergeCell ref="N6:T6"/>
    <mergeCell ref="N7:T7"/>
    <mergeCell ref="N8:T8"/>
    <mergeCell ref="N9:T9"/>
    <mergeCell ref="N10:T10"/>
    <mergeCell ref="N25:T25"/>
    <mergeCell ref="N27:T27"/>
    <mergeCell ref="N28:T28"/>
    <mergeCell ref="N29:T29"/>
    <mergeCell ref="N11:T11"/>
    <mergeCell ref="N12:T12"/>
    <mergeCell ref="N13:T13"/>
    <mergeCell ref="N23:T23"/>
    <mergeCell ref="N24:T24"/>
    <mergeCell ref="N26:T26"/>
    <mergeCell ref="A82:B82"/>
    <mergeCell ref="D82:E82"/>
    <mergeCell ref="A83:K83"/>
    <mergeCell ref="A84:L84"/>
    <mergeCell ref="A71:B71"/>
    <mergeCell ref="H55:H56"/>
    <mergeCell ref="I55:I56"/>
    <mergeCell ref="J55:J56"/>
    <mergeCell ref="K55:K56"/>
    <mergeCell ref="A66:K66"/>
    <mergeCell ref="A67:L67"/>
    <mergeCell ref="B68:L68"/>
    <mergeCell ref="A69:L69"/>
    <mergeCell ref="A70:B70"/>
    <mergeCell ref="A65:B65"/>
    <mergeCell ref="D65:E65"/>
    <mergeCell ref="C55:C56"/>
    <mergeCell ref="D55:D56"/>
    <mergeCell ref="E55:E56"/>
    <mergeCell ref="F55:F56"/>
    <mergeCell ref="G55:G56"/>
    <mergeCell ref="A48:B48"/>
    <mergeCell ref="D48:E48"/>
    <mergeCell ref="A49:K49"/>
    <mergeCell ref="B85:L85"/>
    <mergeCell ref="L72:L73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A50:L50"/>
    <mergeCell ref="L55:L56"/>
    <mergeCell ref="B51:L51"/>
    <mergeCell ref="A52:L52"/>
    <mergeCell ref="A53:B53"/>
    <mergeCell ref="A54:B54"/>
    <mergeCell ref="A55:A56"/>
    <mergeCell ref="B55:B56"/>
    <mergeCell ref="A35:L35"/>
    <mergeCell ref="A37:B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A36:B36"/>
    <mergeCell ref="L38:L39"/>
    <mergeCell ref="A31:B31"/>
    <mergeCell ref="D31:E31"/>
    <mergeCell ref="A32:K32"/>
    <mergeCell ref="A33:L33"/>
    <mergeCell ref="B34:L34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0:B20"/>
    <mergeCell ref="H4:H5"/>
    <mergeCell ref="I4:I5"/>
    <mergeCell ref="J4:J5"/>
    <mergeCell ref="K4:K5"/>
    <mergeCell ref="A15:K15"/>
    <mergeCell ref="A16:L16"/>
    <mergeCell ref="B17:L17"/>
    <mergeCell ref="A18:L18"/>
    <mergeCell ref="A19:B19"/>
    <mergeCell ref="L4:L5"/>
    <mergeCell ref="A14:B14"/>
    <mergeCell ref="D14:E14"/>
    <mergeCell ref="A1:L1"/>
    <mergeCell ref="A2:B2"/>
    <mergeCell ref="A3:B3"/>
    <mergeCell ref="A4:A5"/>
    <mergeCell ref="B4:B5"/>
    <mergeCell ref="C4:C5"/>
    <mergeCell ref="D4:D5"/>
    <mergeCell ref="E4:E5"/>
    <mergeCell ref="F4:F5"/>
    <mergeCell ref="G4:G5"/>
    <mergeCell ref="A86:L86"/>
    <mergeCell ref="A87:B87"/>
    <mergeCell ref="A88:B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N91:T91"/>
    <mergeCell ref="N92:T92"/>
    <mergeCell ref="N93:T93"/>
    <mergeCell ref="N94:T94"/>
    <mergeCell ref="N95:T95"/>
    <mergeCell ref="N96:T96"/>
    <mergeCell ref="N97:T97"/>
    <mergeCell ref="N98:T98"/>
    <mergeCell ref="A99:B99"/>
    <mergeCell ref="D99:E99"/>
    <mergeCell ref="A100:K100"/>
    <mergeCell ref="A101:L101"/>
    <mergeCell ref="B102:L102"/>
    <mergeCell ref="A103:L103"/>
    <mergeCell ref="A104:B104"/>
    <mergeCell ref="A105:B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N108:T108"/>
    <mergeCell ref="N109:T109"/>
    <mergeCell ref="N110:T110"/>
    <mergeCell ref="N111:T111"/>
    <mergeCell ref="N112:T112"/>
    <mergeCell ref="N113:T113"/>
    <mergeCell ref="N114:T114"/>
    <mergeCell ref="N115:T115"/>
    <mergeCell ref="A116:B116"/>
    <mergeCell ref="D116:E116"/>
    <mergeCell ref="A117:K117"/>
    <mergeCell ref="A118:L118"/>
    <mergeCell ref="B119:L119"/>
    <mergeCell ref="A120:L120"/>
    <mergeCell ref="A121:B121"/>
    <mergeCell ref="A122:B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N125:T125"/>
    <mergeCell ref="N126:T126"/>
    <mergeCell ref="N127:T127"/>
    <mergeCell ref="N128:T128"/>
    <mergeCell ref="N129:T129"/>
    <mergeCell ref="N130:T130"/>
    <mergeCell ref="N131:T131"/>
    <mergeCell ref="N132:T132"/>
    <mergeCell ref="A133:B133"/>
    <mergeCell ref="D133:E133"/>
    <mergeCell ref="A134:K134"/>
    <mergeCell ref="A135:L135"/>
    <mergeCell ref="B136:L136"/>
    <mergeCell ref="A137:L137"/>
    <mergeCell ref="A138:B138"/>
    <mergeCell ref="A139:B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N142:T142"/>
    <mergeCell ref="N143:T143"/>
    <mergeCell ref="N144:T144"/>
    <mergeCell ref="N145:T145"/>
    <mergeCell ref="N146:T146"/>
    <mergeCell ref="N147:T147"/>
    <mergeCell ref="N148:T148"/>
    <mergeCell ref="N149:T149"/>
    <mergeCell ref="A150:B150"/>
    <mergeCell ref="D150:E150"/>
    <mergeCell ref="A151:K151"/>
    <mergeCell ref="A152:L152"/>
    <mergeCell ref="B153:L153"/>
    <mergeCell ref="A154:L154"/>
    <mergeCell ref="A155:B155"/>
    <mergeCell ref="A156:B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A168:K168"/>
    <mergeCell ref="A169:L169"/>
    <mergeCell ref="B170:L170"/>
    <mergeCell ref="N159:T159"/>
    <mergeCell ref="N160:T160"/>
    <mergeCell ref="N161:T161"/>
    <mergeCell ref="N162:T162"/>
    <mergeCell ref="N163:T163"/>
    <mergeCell ref="N164:T164"/>
    <mergeCell ref="N165:T165"/>
    <mergeCell ref="N166:T166"/>
    <mergeCell ref="A167:B167"/>
    <mergeCell ref="D167:E167"/>
  </mergeCells>
  <pageMargins left="0.17" right="0.24" top="0.62" bottom="0.75" header="0.3" footer="0.3"/>
  <pageSetup paperSize="9" scale="95" orientation="landscape" r:id="rId1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W36"/>
  <sheetViews>
    <sheetView showGridLines="0" rightToLeft="1" view="pageBreakPreview" zoomScale="80" zoomScaleSheetLayoutView="80" workbookViewId="0">
      <selection sqref="A1:L1"/>
    </sheetView>
  </sheetViews>
  <sheetFormatPr defaultRowHeight="20.25"/>
  <cols>
    <col min="1" max="1" width="8.75" style="167" customWidth="1"/>
    <col min="2" max="4" width="13.625" style="167" customWidth="1"/>
    <col min="5" max="5" width="12.625" style="167" customWidth="1"/>
    <col min="6" max="6" width="11.625" style="167" customWidth="1"/>
    <col min="7" max="7" width="11.375" style="167" customWidth="1"/>
    <col min="8" max="8" width="11.625" style="167" customWidth="1"/>
    <col min="9" max="9" width="9.5" style="167" customWidth="1"/>
    <col min="10" max="10" width="8.625" style="167" customWidth="1"/>
    <col min="11" max="11" width="10.625" style="167" customWidth="1"/>
    <col min="12" max="12" width="10.125" style="167" customWidth="1"/>
    <col min="13" max="13" width="4" style="167" customWidth="1"/>
    <col min="14" max="16384" width="9" style="167"/>
  </cols>
  <sheetData>
    <row r="1" spans="1:23" s="4" customFormat="1" ht="36" customHeight="1">
      <c r="A1" s="646" t="s">
        <v>546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23" s="67" customFormat="1" ht="28.5" customHeight="1">
      <c r="A2" s="611" t="s">
        <v>0</v>
      </c>
      <c r="B2" s="611"/>
      <c r="C2" s="241">
        <f>'صفحه اصلی'!C7</f>
        <v>0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23" s="210" customFormat="1" ht="28.5" customHeight="1" thickBot="1">
      <c r="A3" s="612" t="s">
        <v>1</v>
      </c>
      <c r="B3" s="612"/>
      <c r="C3" s="64">
        <f>'صفحه اصلی'!C8</f>
        <v>0</v>
      </c>
      <c r="D3" s="65" t="s">
        <v>31</v>
      </c>
      <c r="E3" s="275"/>
      <c r="G3" s="65" t="s">
        <v>54</v>
      </c>
      <c r="H3" s="276">
        <f>'صفحه اصلی'!C9</f>
        <v>0</v>
      </c>
      <c r="I3" s="276"/>
      <c r="J3" s="276"/>
      <c r="K3" s="277"/>
      <c r="L3" s="277"/>
    </row>
    <row r="4" spans="1:23" s="200" customFormat="1" ht="24" customHeight="1" thickTop="1">
      <c r="A4" s="647" t="s">
        <v>12</v>
      </c>
      <c r="B4" s="642" t="s">
        <v>16</v>
      </c>
      <c r="C4" s="642" t="s">
        <v>32</v>
      </c>
      <c r="D4" s="642" t="s">
        <v>33</v>
      </c>
      <c r="E4" s="642" t="s">
        <v>34</v>
      </c>
      <c r="F4" s="642" t="s">
        <v>35</v>
      </c>
      <c r="G4" s="642" t="s">
        <v>383</v>
      </c>
      <c r="H4" s="642" t="s">
        <v>2</v>
      </c>
      <c r="I4" s="642" t="s">
        <v>68</v>
      </c>
      <c r="J4" s="642" t="s">
        <v>69</v>
      </c>
      <c r="K4" s="642" t="s">
        <v>61</v>
      </c>
      <c r="L4" s="644" t="s">
        <v>3</v>
      </c>
    </row>
    <row r="5" spans="1:23" s="200" customFormat="1" ht="24" customHeight="1" thickBot="1">
      <c r="A5" s="648"/>
      <c r="B5" s="643"/>
      <c r="C5" s="643"/>
      <c r="D5" s="643"/>
      <c r="E5" s="643"/>
      <c r="F5" s="643"/>
      <c r="G5" s="643"/>
      <c r="H5" s="643"/>
      <c r="I5" s="649"/>
      <c r="J5" s="643"/>
      <c r="K5" s="643"/>
      <c r="L5" s="645"/>
    </row>
    <row r="6" spans="1:23" ht="27" customHeight="1">
      <c r="A6" s="269"/>
      <c r="B6" s="224"/>
      <c r="C6" s="224"/>
      <c r="D6" s="278">
        <f t="shared" ref="D6:D13" si="0">SUM(E6:J6)</f>
        <v>0</v>
      </c>
      <c r="E6" s="224"/>
      <c r="F6" s="224"/>
      <c r="G6" s="224"/>
      <c r="H6" s="224"/>
      <c r="I6" s="224"/>
      <c r="J6" s="224"/>
      <c r="K6" s="224"/>
      <c r="L6" s="225"/>
      <c r="N6" s="602" t="str">
        <f>IF(B14='رو کش تراز '!O181," ","مغایرت جمع ستون اعتبار اصلاحی با دستگاه اجرایی اختصاصی در روکش تراز ")</f>
        <v xml:space="preserve"> </v>
      </c>
      <c r="O6" s="602"/>
      <c r="P6" s="602"/>
      <c r="Q6" s="602"/>
      <c r="R6" s="602"/>
      <c r="S6" s="602"/>
      <c r="T6" s="602"/>
      <c r="U6" s="602"/>
      <c r="V6" s="602"/>
      <c r="W6" s="602"/>
    </row>
    <row r="7" spans="1:23" ht="27" customHeight="1">
      <c r="A7" s="270"/>
      <c r="B7" s="224"/>
      <c r="C7" s="224"/>
      <c r="D7" s="278">
        <f t="shared" si="0"/>
        <v>0</v>
      </c>
      <c r="E7" s="224"/>
      <c r="F7" s="224"/>
      <c r="G7" s="224"/>
      <c r="H7" s="224"/>
      <c r="I7" s="224"/>
      <c r="J7" s="224"/>
      <c r="K7" s="224"/>
      <c r="L7" s="225"/>
      <c r="N7" s="602"/>
      <c r="O7" s="602"/>
      <c r="P7" s="602"/>
      <c r="Q7" s="602"/>
      <c r="R7" s="602"/>
      <c r="S7" s="602"/>
      <c r="T7" s="602"/>
      <c r="U7" s="602"/>
      <c r="V7" s="602"/>
      <c r="W7" s="602"/>
    </row>
    <row r="8" spans="1:23" ht="27" customHeight="1">
      <c r="A8" s="270"/>
      <c r="B8" s="224"/>
      <c r="C8" s="224"/>
      <c r="D8" s="278">
        <f t="shared" si="0"/>
        <v>0</v>
      </c>
      <c r="E8" s="224"/>
      <c r="F8" s="224"/>
      <c r="G8" s="224"/>
      <c r="H8" s="224"/>
      <c r="I8" s="224"/>
      <c r="J8" s="224"/>
      <c r="K8" s="224"/>
      <c r="L8" s="225"/>
      <c r="N8" s="602"/>
      <c r="O8" s="602"/>
      <c r="P8" s="602"/>
      <c r="Q8" s="602"/>
      <c r="R8" s="602"/>
      <c r="S8" s="602"/>
      <c r="T8" s="602"/>
      <c r="U8" s="602"/>
      <c r="V8" s="602"/>
      <c r="W8" s="602"/>
    </row>
    <row r="9" spans="1:23" ht="27" customHeight="1">
      <c r="A9" s="270"/>
      <c r="B9" s="224"/>
      <c r="C9" s="224"/>
      <c r="D9" s="278">
        <f t="shared" si="0"/>
        <v>0</v>
      </c>
      <c r="E9" s="224"/>
      <c r="F9" s="224"/>
      <c r="G9" s="224"/>
      <c r="H9" s="224"/>
      <c r="I9" s="224"/>
      <c r="J9" s="224"/>
      <c r="K9" s="224"/>
      <c r="L9" s="225"/>
      <c r="N9" s="602"/>
      <c r="O9" s="602"/>
      <c r="P9" s="602"/>
      <c r="Q9" s="602"/>
      <c r="R9" s="602"/>
      <c r="S9" s="602"/>
      <c r="T9" s="602"/>
      <c r="U9" s="602"/>
      <c r="V9" s="602"/>
      <c r="W9" s="602"/>
    </row>
    <row r="10" spans="1:23" ht="27" customHeight="1">
      <c r="A10" s="270"/>
      <c r="B10" s="224"/>
      <c r="C10" s="224"/>
      <c r="D10" s="278">
        <f t="shared" si="0"/>
        <v>0</v>
      </c>
      <c r="E10" s="224"/>
      <c r="F10" s="224"/>
      <c r="G10" s="224"/>
      <c r="H10" s="224"/>
      <c r="I10" s="224"/>
      <c r="J10" s="224"/>
      <c r="K10" s="224"/>
      <c r="L10" s="225"/>
      <c r="N10" s="602"/>
      <c r="O10" s="602"/>
      <c r="P10" s="602"/>
      <c r="Q10" s="602"/>
      <c r="R10" s="602"/>
      <c r="S10" s="602"/>
      <c r="T10" s="602"/>
      <c r="U10" s="602"/>
      <c r="V10" s="602"/>
      <c r="W10" s="602"/>
    </row>
    <row r="11" spans="1:23" ht="27" customHeight="1">
      <c r="A11" s="270"/>
      <c r="B11" s="224"/>
      <c r="C11" s="224"/>
      <c r="D11" s="278">
        <f t="shared" si="0"/>
        <v>0</v>
      </c>
      <c r="E11" s="224"/>
      <c r="F11" s="224"/>
      <c r="G11" s="224"/>
      <c r="H11" s="224"/>
      <c r="I11" s="224"/>
      <c r="J11" s="224"/>
      <c r="K11" s="224"/>
      <c r="L11" s="225"/>
      <c r="N11" s="602"/>
      <c r="O11" s="602"/>
      <c r="P11" s="602"/>
      <c r="Q11" s="602"/>
      <c r="R11" s="602"/>
      <c r="S11" s="602"/>
      <c r="T11" s="602"/>
      <c r="U11" s="602"/>
      <c r="V11" s="602"/>
      <c r="W11" s="602"/>
    </row>
    <row r="12" spans="1:23" ht="27" customHeight="1">
      <c r="A12" s="270"/>
      <c r="B12" s="224"/>
      <c r="C12" s="224"/>
      <c r="D12" s="278">
        <f t="shared" si="0"/>
        <v>0</v>
      </c>
      <c r="E12" s="224"/>
      <c r="F12" s="224"/>
      <c r="G12" s="224"/>
      <c r="H12" s="224"/>
      <c r="I12" s="224"/>
      <c r="J12" s="224"/>
      <c r="K12" s="224"/>
      <c r="L12" s="225"/>
      <c r="N12" s="602"/>
      <c r="O12" s="602"/>
      <c r="P12" s="602"/>
      <c r="Q12" s="602"/>
      <c r="R12" s="602"/>
      <c r="S12" s="602"/>
      <c r="T12" s="602"/>
      <c r="U12" s="602"/>
      <c r="V12" s="602"/>
      <c r="W12" s="602"/>
    </row>
    <row r="13" spans="1:23" ht="27" customHeight="1" thickBot="1">
      <c r="A13" s="272"/>
      <c r="B13" s="435"/>
      <c r="C13" s="435"/>
      <c r="D13" s="279">
        <f t="shared" si="0"/>
        <v>0</v>
      </c>
      <c r="E13" s="435"/>
      <c r="F13" s="435"/>
      <c r="G13" s="435"/>
      <c r="H13" s="435"/>
      <c r="I13" s="435"/>
      <c r="J13" s="435"/>
      <c r="K13" s="435"/>
      <c r="L13" s="230"/>
      <c r="N13" s="602"/>
      <c r="O13" s="602"/>
      <c r="P13" s="602"/>
      <c r="Q13" s="602"/>
      <c r="R13" s="602"/>
      <c r="S13" s="602"/>
      <c r="T13" s="602"/>
      <c r="U13" s="602"/>
      <c r="V13" s="602"/>
      <c r="W13" s="602"/>
    </row>
    <row r="14" spans="1:23" ht="30" customHeight="1" thickBot="1">
      <c r="A14" s="406" t="s">
        <v>7</v>
      </c>
      <c r="B14" s="79">
        <f t="shared" ref="B14" si="1">SUM(B6:B13)</f>
        <v>0</v>
      </c>
      <c r="C14" s="79">
        <f t="shared" ref="C14" si="2">SUM(C6:C13)</f>
        <v>0</v>
      </c>
      <c r="D14" s="79">
        <f t="shared" ref="D14" si="3">SUM(D6:D13)</f>
        <v>0</v>
      </c>
      <c r="E14" s="79">
        <f t="shared" ref="E14" si="4">SUM(E6:E13)</f>
        <v>0</v>
      </c>
      <c r="F14" s="79">
        <f t="shared" ref="F14" si="5">SUM(F6:F13)</f>
        <v>0</v>
      </c>
      <c r="G14" s="79">
        <f t="shared" ref="G14" si="6">SUM(G6:G13)</f>
        <v>0</v>
      </c>
      <c r="H14" s="79">
        <f t="shared" ref="H14" si="7">SUM(H6:H13)</f>
        <v>0</v>
      </c>
      <c r="I14" s="79">
        <f t="shared" ref="I14" si="8">SUM(I6:I13)</f>
        <v>0</v>
      </c>
      <c r="J14" s="79">
        <f t="shared" ref="J14" si="9">SUM(J6:J13)</f>
        <v>0</v>
      </c>
      <c r="K14" s="79">
        <f t="shared" ref="K14" si="10">SUM(K6:K13)</f>
        <v>0</v>
      </c>
      <c r="L14" s="238">
        <f t="shared" ref="L14" si="11">SUM(L6:L13)</f>
        <v>0</v>
      </c>
      <c r="M14" s="267"/>
    </row>
    <row r="15" spans="1:23" s="200" customFormat="1" ht="38.25" customHeight="1" thickTop="1">
      <c r="A15" s="589" t="s">
        <v>21</v>
      </c>
      <c r="B15" s="589"/>
      <c r="C15" s="455">
        <f>'صفحه اصلی'!C10</f>
        <v>0</v>
      </c>
      <c r="D15" s="589" t="s">
        <v>8</v>
      </c>
      <c r="E15" s="671"/>
      <c r="F15" s="455">
        <f>'صفحه اصلی'!C11</f>
        <v>0</v>
      </c>
      <c r="G15" s="197"/>
      <c r="H15" s="198" t="s">
        <v>9</v>
      </c>
      <c r="I15" s="672">
        <f>'صفحه اصلی'!C12</f>
        <v>0</v>
      </c>
      <c r="J15" s="672"/>
      <c r="K15" s="199" t="s">
        <v>10</v>
      </c>
      <c r="L15" s="281">
        <f>'صفحه اصلی'!C13</f>
        <v>0</v>
      </c>
    </row>
    <row r="16" spans="1:23" ht="26.25" customHeight="1" thickBot="1">
      <c r="A16" s="587" t="s">
        <v>19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266" t="s">
        <v>37</v>
      </c>
    </row>
    <row r="17" spans="1:23" ht="26.25" customHeight="1" thickTop="1" thickBot="1">
      <c r="A17" s="582" t="s">
        <v>403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4"/>
    </row>
    <row r="18" spans="1:23" ht="26.25" customHeight="1" thickBot="1">
      <c r="A18" s="203" t="s">
        <v>11</v>
      </c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6"/>
    </row>
    <row r="19" spans="1:23" s="4" customFormat="1" ht="38.25" customHeight="1" thickTop="1">
      <c r="A19" s="646" t="s">
        <v>40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</row>
    <row r="20" spans="1:23" s="67" customFormat="1" ht="28.5" customHeight="1">
      <c r="A20" s="611" t="s">
        <v>0</v>
      </c>
      <c r="B20" s="611"/>
      <c r="C20" s="241">
        <f>'صفحه اصلی'!C7</f>
        <v>0</v>
      </c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23" s="210" customFormat="1" ht="28.5" customHeight="1" thickBot="1">
      <c r="A21" s="612" t="s">
        <v>1</v>
      </c>
      <c r="B21" s="612"/>
      <c r="C21" s="64">
        <f>'صفحه اصلی'!C8</f>
        <v>0</v>
      </c>
      <c r="D21" s="65" t="s">
        <v>31</v>
      </c>
      <c r="E21" s="275"/>
      <c r="G21" s="65" t="s">
        <v>54</v>
      </c>
      <c r="H21" s="276">
        <f>'صفحه اصلی'!C9</f>
        <v>0</v>
      </c>
      <c r="I21" s="276"/>
      <c r="J21" s="276"/>
      <c r="K21" s="277"/>
      <c r="L21" s="277"/>
    </row>
    <row r="22" spans="1:23" s="200" customFormat="1" ht="24" customHeight="1" thickTop="1">
      <c r="A22" s="684" t="s">
        <v>23</v>
      </c>
      <c r="B22" s="686" t="s">
        <v>16</v>
      </c>
      <c r="C22" s="686" t="s">
        <v>32</v>
      </c>
      <c r="D22" s="686" t="s">
        <v>33</v>
      </c>
      <c r="E22" s="687" t="s">
        <v>34</v>
      </c>
      <c r="F22" s="642" t="s">
        <v>35</v>
      </c>
      <c r="G22" s="686" t="s">
        <v>384</v>
      </c>
      <c r="H22" s="686" t="s">
        <v>2</v>
      </c>
      <c r="I22" s="642" t="s">
        <v>68</v>
      </c>
      <c r="J22" s="642" t="s">
        <v>69</v>
      </c>
      <c r="K22" s="642" t="s">
        <v>61</v>
      </c>
      <c r="L22" s="689" t="s">
        <v>3</v>
      </c>
      <c r="N22" s="90"/>
      <c r="O22" s="90"/>
      <c r="P22" s="90"/>
      <c r="Q22" s="90"/>
      <c r="R22" s="90"/>
      <c r="S22" s="90"/>
    </row>
    <row r="23" spans="1:23" s="200" customFormat="1" ht="24" customHeight="1" thickBot="1">
      <c r="A23" s="685"/>
      <c r="B23" s="649"/>
      <c r="C23" s="649"/>
      <c r="D23" s="649"/>
      <c r="E23" s="688"/>
      <c r="F23" s="649"/>
      <c r="G23" s="649"/>
      <c r="H23" s="649"/>
      <c r="I23" s="649"/>
      <c r="J23" s="643"/>
      <c r="K23" s="643"/>
      <c r="L23" s="645"/>
      <c r="N23" s="90"/>
      <c r="O23" s="90"/>
      <c r="P23" s="90"/>
      <c r="Q23" s="90"/>
      <c r="R23" s="90"/>
      <c r="S23" s="90"/>
    </row>
    <row r="24" spans="1:23" ht="29.25" customHeight="1">
      <c r="A24" s="282" t="s">
        <v>41</v>
      </c>
      <c r="B24" s="224"/>
      <c r="C24" s="224"/>
      <c r="D24" s="283">
        <f>SUM(E24:J24)</f>
        <v>0</v>
      </c>
      <c r="E24" s="224"/>
      <c r="F24" s="224"/>
      <c r="G24" s="224"/>
      <c r="H24" s="224"/>
      <c r="I24" s="224"/>
      <c r="J24" s="224"/>
      <c r="K24" s="224"/>
      <c r="L24" s="225"/>
      <c r="N24" s="602" t="str">
        <f>IF(B31=B14," ","مغایرت  جمع ستون اعتبار اصلاحی  با اعتبار اصلاحی نماینده عملکرد اعتبارات اختصاصی برحسب برنامه")</f>
        <v xml:space="preserve"> </v>
      </c>
      <c r="O24" s="602"/>
      <c r="P24" s="602"/>
      <c r="Q24" s="602"/>
      <c r="R24" s="602"/>
      <c r="S24" s="602"/>
      <c r="T24" s="602"/>
      <c r="U24" s="602"/>
      <c r="V24" s="602"/>
      <c r="W24" s="602"/>
    </row>
    <row r="25" spans="1:23" ht="29.25" customHeight="1">
      <c r="A25" s="284" t="s">
        <v>42</v>
      </c>
      <c r="B25" s="224"/>
      <c r="C25" s="224"/>
      <c r="D25" s="244">
        <f t="shared" ref="D25:D30" si="12">SUM(E25:J25)</f>
        <v>0</v>
      </c>
      <c r="E25" s="224"/>
      <c r="F25" s="224"/>
      <c r="G25" s="224"/>
      <c r="H25" s="224"/>
      <c r="I25" s="224"/>
      <c r="J25" s="224"/>
      <c r="K25" s="224"/>
      <c r="L25" s="225"/>
      <c r="N25" s="602" t="str">
        <f>IF(C31=C14," ","مغایرت جمع ستون تخصیص اعتبار با تخصیص اعتبار نماینده عملکرد اعتبارات اختصاصی برحسب برنامه")</f>
        <v xml:space="preserve"> </v>
      </c>
      <c r="O25" s="602"/>
      <c r="P25" s="602"/>
      <c r="Q25" s="602"/>
      <c r="R25" s="602"/>
      <c r="S25" s="602"/>
      <c r="T25" s="602"/>
      <c r="U25" s="602"/>
      <c r="V25" s="602"/>
      <c r="W25" s="602"/>
    </row>
    <row r="26" spans="1:23" ht="29.25" customHeight="1">
      <c r="A26" s="284" t="s">
        <v>43</v>
      </c>
      <c r="B26" s="224"/>
      <c r="C26" s="224"/>
      <c r="D26" s="244">
        <f t="shared" si="12"/>
        <v>0</v>
      </c>
      <c r="E26" s="224"/>
      <c r="F26" s="224"/>
      <c r="G26" s="224"/>
      <c r="H26" s="224"/>
      <c r="I26" s="224"/>
      <c r="J26" s="224"/>
      <c r="K26" s="224"/>
      <c r="L26" s="225"/>
      <c r="N26" s="602" t="str">
        <f>IF(D31=D14," ","مغایرت جمع ستون کنترل تخصیص با کنترل تخصیص نماینده عملکرد اعتبارات اختصاصی برحسب برنامه")</f>
        <v xml:space="preserve"> </v>
      </c>
      <c r="O26" s="602"/>
      <c r="P26" s="602"/>
      <c r="Q26" s="602"/>
      <c r="R26" s="602"/>
      <c r="S26" s="602"/>
      <c r="T26" s="602"/>
      <c r="U26" s="602"/>
      <c r="V26" s="602"/>
      <c r="W26" s="602"/>
    </row>
    <row r="27" spans="1:23" ht="29.25" customHeight="1">
      <c r="A27" s="285" t="s">
        <v>44</v>
      </c>
      <c r="B27" s="224"/>
      <c r="C27" s="224"/>
      <c r="D27" s="244">
        <f t="shared" si="12"/>
        <v>0</v>
      </c>
      <c r="E27" s="224"/>
      <c r="F27" s="224"/>
      <c r="G27" s="224"/>
      <c r="H27" s="224"/>
      <c r="I27" s="224"/>
      <c r="J27" s="224"/>
      <c r="K27" s="224"/>
      <c r="L27" s="225"/>
      <c r="N27" s="602" t="str">
        <f>IF(F31=F14," ","مغایرت جمع ستون پیش پرداخت با پیش پرداخت نماینده عملکرد اعتبارات اختصاصی برحسب برنامه")</f>
        <v xml:space="preserve"> </v>
      </c>
      <c r="O27" s="602"/>
      <c r="P27" s="602"/>
      <c r="Q27" s="602"/>
      <c r="R27" s="602"/>
      <c r="S27" s="602"/>
      <c r="T27" s="602"/>
      <c r="U27" s="602"/>
      <c r="V27" s="602"/>
      <c r="W27" s="602"/>
    </row>
    <row r="28" spans="1:23" ht="29.25" customHeight="1">
      <c r="A28" s="285" t="s">
        <v>45</v>
      </c>
      <c r="B28" s="224"/>
      <c r="C28" s="224"/>
      <c r="D28" s="244">
        <f t="shared" si="12"/>
        <v>0</v>
      </c>
      <c r="E28" s="224"/>
      <c r="F28" s="224"/>
      <c r="G28" s="224"/>
      <c r="H28" s="224"/>
      <c r="I28" s="224"/>
      <c r="J28" s="224"/>
      <c r="K28" s="224"/>
      <c r="L28" s="225"/>
      <c r="N28" s="602" t="str">
        <f>IF(H31=H14," ","مغایرت جمع ستون علی الحساب با علی الحساب نماینده عملکرد اعتبارات اختصاصی برحسب برنامه ")</f>
        <v xml:space="preserve"> </v>
      </c>
      <c r="O28" s="602"/>
      <c r="P28" s="602"/>
      <c r="Q28" s="602"/>
      <c r="R28" s="602"/>
      <c r="S28" s="602"/>
      <c r="T28" s="602"/>
      <c r="U28" s="602"/>
      <c r="V28" s="602"/>
      <c r="W28" s="602"/>
    </row>
    <row r="29" spans="1:23" ht="29.25" customHeight="1">
      <c r="A29" s="285" t="s">
        <v>46</v>
      </c>
      <c r="B29" s="224"/>
      <c r="C29" s="224"/>
      <c r="D29" s="244">
        <f t="shared" si="12"/>
        <v>0</v>
      </c>
      <c r="E29" s="224"/>
      <c r="F29" s="224"/>
      <c r="G29" s="224"/>
      <c r="H29" s="224"/>
      <c r="I29" s="224"/>
      <c r="J29" s="224"/>
      <c r="K29" s="224"/>
      <c r="L29" s="225"/>
      <c r="N29" s="602" t="str">
        <f>IF(L31+K31=L14+K14," ","مغایرت جمع ستون واریزی به خزانه با واریزی  نماینده عملکرد اعتبارات اختصاصی برحسب برنامه")</f>
        <v xml:space="preserve"> </v>
      </c>
      <c r="O29" s="602"/>
      <c r="P29" s="602"/>
      <c r="Q29" s="602"/>
      <c r="R29" s="602"/>
      <c r="S29" s="602"/>
      <c r="T29" s="602"/>
      <c r="U29" s="602"/>
      <c r="V29" s="602"/>
      <c r="W29" s="602"/>
    </row>
    <row r="30" spans="1:23" ht="29.25" customHeight="1" thickBot="1">
      <c r="A30" s="286" t="s">
        <v>47</v>
      </c>
      <c r="B30" s="224"/>
      <c r="C30" s="224"/>
      <c r="D30" s="245">
        <f t="shared" si="12"/>
        <v>0</v>
      </c>
      <c r="E30" s="224"/>
      <c r="F30" s="224"/>
      <c r="G30" s="224"/>
      <c r="H30" s="224"/>
      <c r="I30" s="224"/>
      <c r="J30" s="224"/>
      <c r="K30" s="224"/>
      <c r="L30" s="225"/>
      <c r="N30" s="602"/>
      <c r="O30" s="602"/>
      <c r="P30" s="602"/>
      <c r="Q30" s="602"/>
      <c r="R30" s="602"/>
      <c r="S30" s="602"/>
    </row>
    <row r="31" spans="1:23" ht="33" customHeight="1" thickBot="1">
      <c r="A31" s="280" t="s">
        <v>7</v>
      </c>
      <c r="B31" s="188">
        <f t="shared" ref="B31:E31" si="13">SUM(B23:B30)</f>
        <v>0</v>
      </c>
      <c r="C31" s="188">
        <f t="shared" si="13"/>
        <v>0</v>
      </c>
      <c r="D31" s="188">
        <f t="shared" si="13"/>
        <v>0</v>
      </c>
      <c r="E31" s="188">
        <f t="shared" si="13"/>
        <v>0</v>
      </c>
      <c r="F31" s="188">
        <f t="shared" ref="F31:L31" si="14">SUM(F23:F30)</f>
        <v>0</v>
      </c>
      <c r="G31" s="188">
        <f t="shared" si="14"/>
        <v>0</v>
      </c>
      <c r="H31" s="188">
        <f t="shared" si="14"/>
        <v>0</v>
      </c>
      <c r="I31" s="188">
        <f t="shared" si="14"/>
        <v>0</v>
      </c>
      <c r="J31" s="188">
        <f t="shared" si="14"/>
        <v>0</v>
      </c>
      <c r="K31" s="188">
        <f t="shared" si="14"/>
        <v>0</v>
      </c>
      <c r="L31" s="75">
        <f t="shared" si="14"/>
        <v>0</v>
      </c>
      <c r="M31" s="267"/>
      <c r="N31" s="602"/>
      <c r="O31" s="602"/>
      <c r="P31" s="602"/>
      <c r="Q31" s="602"/>
      <c r="R31" s="602"/>
      <c r="S31" s="602"/>
    </row>
    <row r="32" spans="1:23" s="67" customFormat="1" ht="42.75" customHeight="1" thickTop="1">
      <c r="A32" s="690" t="s">
        <v>21</v>
      </c>
      <c r="B32" s="690"/>
      <c r="C32" s="239">
        <f>'صفحه اصلی'!C10</f>
        <v>0</v>
      </c>
      <c r="D32" s="690" t="s">
        <v>8</v>
      </c>
      <c r="E32" s="690"/>
      <c r="F32" s="239">
        <f>'صفحه اصلی'!C11</f>
        <v>0</v>
      </c>
      <c r="G32" s="239"/>
      <c r="H32" s="287" t="s">
        <v>9</v>
      </c>
      <c r="I32" s="240">
        <f>'صفحه اصلی'!C12</f>
        <v>0</v>
      </c>
      <c r="J32" s="287"/>
      <c r="K32" s="288" t="s">
        <v>10</v>
      </c>
      <c r="L32" s="289">
        <f>'صفحه اصلی'!C13</f>
        <v>0</v>
      </c>
      <c r="N32" s="93"/>
      <c r="O32" s="93"/>
      <c r="P32" s="93"/>
      <c r="Q32" s="93"/>
      <c r="R32" s="93"/>
      <c r="S32" s="93"/>
    </row>
    <row r="33" spans="1:12" ht="30" customHeight="1" thickBot="1">
      <c r="A33" s="587" t="s">
        <v>19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266" t="s">
        <v>39</v>
      </c>
    </row>
    <row r="34" spans="1:12" ht="30.75" customHeight="1" thickTop="1" thickBot="1">
      <c r="A34" s="582" t="s">
        <v>391</v>
      </c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4"/>
    </row>
    <row r="35" spans="1:12" ht="28.5" customHeight="1" thickBot="1">
      <c r="A35" s="203" t="s">
        <v>11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6"/>
    </row>
    <row r="36" spans="1:12" ht="21" thickTop="1"/>
  </sheetData>
  <sheetProtection formatCells="0" formatColumns="0" formatRows="0" insertColumns="0" insertRows="0" insertHyperlinks="0" deleteColumns="0" deleteRows="0" sort="0" autoFilter="0" pivotTables="0"/>
  <mergeCells count="57">
    <mergeCell ref="A33:K33"/>
    <mergeCell ref="A34:L34"/>
    <mergeCell ref="B35:L35"/>
    <mergeCell ref="N27:W27"/>
    <mergeCell ref="N28:W28"/>
    <mergeCell ref="N29:W29"/>
    <mergeCell ref="N30:S30"/>
    <mergeCell ref="N31:S31"/>
    <mergeCell ref="A32:B32"/>
    <mergeCell ref="D32:E32"/>
    <mergeCell ref="N24:W24"/>
    <mergeCell ref="N25:W25"/>
    <mergeCell ref="N26:W26"/>
    <mergeCell ref="A19:L19"/>
    <mergeCell ref="A20:B20"/>
    <mergeCell ref="A21:B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18:L18"/>
    <mergeCell ref="A16:K16"/>
    <mergeCell ref="A17:L17"/>
    <mergeCell ref="A15:B15"/>
    <mergeCell ref="D15:E15"/>
    <mergeCell ref="I15:J15"/>
    <mergeCell ref="N11:W11"/>
    <mergeCell ref="N12:W12"/>
    <mergeCell ref="N13:W13"/>
    <mergeCell ref="N6:W6"/>
    <mergeCell ref="N7:W7"/>
    <mergeCell ref="N8:W8"/>
    <mergeCell ref="N9:W9"/>
    <mergeCell ref="N10:W10"/>
    <mergeCell ref="A4:A5"/>
    <mergeCell ref="B4:B5"/>
    <mergeCell ref="C4:C5"/>
    <mergeCell ref="A1:L1"/>
    <mergeCell ref="K4:K5"/>
    <mergeCell ref="L4:L5"/>
    <mergeCell ref="I4:I5"/>
    <mergeCell ref="J4:J5"/>
    <mergeCell ref="A2:B2"/>
    <mergeCell ref="A3:B3"/>
    <mergeCell ref="D4:D5"/>
    <mergeCell ref="E4:E5"/>
    <mergeCell ref="F4:F5"/>
    <mergeCell ref="G4:G5"/>
    <mergeCell ref="H4:H5"/>
  </mergeCells>
  <pageMargins left="0.28000000000000003" right="0.31" top="0.75" bottom="0.75" header="0.3" footer="0.3"/>
  <pageSetup paperSize="9" scale="92" orientation="landscape" r:id="rId1"/>
  <rowBreaks count="1" manualBreakCount="1">
    <brk id="18" max="1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-0.249977111117893"/>
  </sheetPr>
  <dimension ref="A1:K18"/>
  <sheetViews>
    <sheetView showGridLines="0" rightToLeft="1" view="pageBreakPreview" zoomScale="80" zoomScaleSheetLayoutView="80" workbookViewId="0">
      <selection sqref="A1:I1"/>
    </sheetView>
  </sheetViews>
  <sheetFormatPr defaultRowHeight="20.25"/>
  <cols>
    <col min="1" max="1" width="11.625" style="167" customWidth="1"/>
    <col min="2" max="4" width="20.625" style="167" customWidth="1"/>
    <col min="5" max="5" width="13.625" style="167" customWidth="1"/>
    <col min="6" max="6" width="7.625" style="167" customWidth="1"/>
    <col min="7" max="7" width="19.625" style="167" customWidth="1"/>
    <col min="8" max="9" width="10.625" style="167" customWidth="1"/>
    <col min="10" max="10" width="12.375" style="167" customWidth="1"/>
    <col min="11" max="16384" width="9" style="167"/>
  </cols>
  <sheetData>
    <row r="1" spans="1:10" s="4" customFormat="1" ht="36" customHeight="1">
      <c r="A1" s="646" t="s">
        <v>55</v>
      </c>
      <c r="B1" s="646"/>
      <c r="C1" s="646"/>
      <c r="D1" s="646"/>
      <c r="E1" s="646"/>
      <c r="F1" s="646"/>
      <c r="G1" s="646"/>
      <c r="H1" s="646"/>
      <c r="I1" s="646"/>
      <c r="J1" s="60"/>
    </row>
    <row r="2" spans="1:10" s="67" customFormat="1" ht="26.25" customHeight="1">
      <c r="A2" s="241" t="s">
        <v>0</v>
      </c>
      <c r="B2" s="241">
        <f>'صفحه اصلی'!C7</f>
        <v>0</v>
      </c>
      <c r="C2" s="705"/>
      <c r="D2" s="705"/>
      <c r="E2" s="705"/>
      <c r="F2" s="241"/>
      <c r="G2" s="241"/>
      <c r="H2" s="241"/>
      <c r="I2" s="241"/>
      <c r="J2" s="240"/>
    </row>
    <row r="3" spans="1:10" s="67" customFormat="1" ht="25.5" customHeight="1" thickBot="1">
      <c r="A3" s="257" t="s">
        <v>382</v>
      </c>
      <c r="B3" s="64">
        <f>'صفحه اصلی'!C8</f>
        <v>0</v>
      </c>
      <c r="C3" s="65" t="s">
        <v>31</v>
      </c>
      <c r="D3" s="40"/>
      <c r="F3" s="65" t="s">
        <v>54</v>
      </c>
      <c r="G3" s="64">
        <f>'صفحه اصلی'!C9</f>
        <v>0</v>
      </c>
      <c r="H3" s="64"/>
      <c r="I3" s="63"/>
      <c r="J3" s="66"/>
    </row>
    <row r="4" spans="1:10" ht="24" customHeight="1" thickTop="1">
      <c r="A4" s="674" t="s">
        <v>56</v>
      </c>
      <c r="B4" s="676" t="s">
        <v>16</v>
      </c>
      <c r="C4" s="676" t="s">
        <v>32</v>
      </c>
      <c r="D4" s="676" t="s">
        <v>33</v>
      </c>
      <c r="E4" s="699" t="s">
        <v>58</v>
      </c>
      <c r="F4" s="700"/>
      <c r="G4" s="676" t="s">
        <v>2</v>
      </c>
      <c r="H4" s="706" t="s">
        <v>36</v>
      </c>
      <c r="I4" s="707"/>
      <c r="J4" s="704"/>
    </row>
    <row r="5" spans="1:10" ht="24" customHeight="1" thickBot="1">
      <c r="A5" s="675"/>
      <c r="B5" s="677"/>
      <c r="C5" s="677"/>
      <c r="D5" s="677"/>
      <c r="E5" s="701"/>
      <c r="F5" s="688"/>
      <c r="G5" s="677"/>
      <c r="H5" s="708"/>
      <c r="I5" s="709"/>
      <c r="J5" s="704"/>
    </row>
    <row r="6" spans="1:10" ht="30" customHeight="1">
      <c r="A6" s="269"/>
      <c r="B6" s="118"/>
      <c r="C6" s="118"/>
      <c r="D6" s="118"/>
      <c r="E6" s="697"/>
      <c r="F6" s="698"/>
      <c r="G6" s="118"/>
      <c r="H6" s="697"/>
      <c r="I6" s="711"/>
      <c r="J6" s="261"/>
    </row>
    <row r="7" spans="1:10" ht="30" customHeight="1">
      <c r="A7" s="270"/>
      <c r="B7" s="224"/>
      <c r="C7" s="224"/>
      <c r="D7" s="224"/>
      <c r="E7" s="691"/>
      <c r="F7" s="692"/>
      <c r="G7" s="224"/>
      <c r="H7" s="691"/>
      <c r="I7" s="703"/>
      <c r="J7" s="261"/>
    </row>
    <row r="8" spans="1:10" ht="30" customHeight="1">
      <c r="A8" s="271"/>
      <c r="B8" s="224"/>
      <c r="C8" s="117"/>
      <c r="D8" s="224"/>
      <c r="E8" s="691"/>
      <c r="F8" s="692"/>
      <c r="G8" s="117"/>
      <c r="H8" s="691"/>
      <c r="I8" s="703"/>
      <c r="J8" s="261"/>
    </row>
    <row r="9" spans="1:10" ht="30" customHeight="1">
      <c r="A9" s="271"/>
      <c r="B9" s="224"/>
      <c r="C9" s="224"/>
      <c r="D9" s="224"/>
      <c r="E9" s="691"/>
      <c r="F9" s="692"/>
      <c r="G9" s="224"/>
      <c r="H9" s="691"/>
      <c r="I9" s="703"/>
      <c r="J9" s="261"/>
    </row>
    <row r="10" spans="1:10" ht="30" customHeight="1">
      <c r="A10" s="269"/>
      <c r="B10" s="224"/>
      <c r="C10" s="118"/>
      <c r="D10" s="224"/>
      <c r="E10" s="691"/>
      <c r="F10" s="692"/>
      <c r="G10" s="118"/>
      <c r="H10" s="691"/>
      <c r="I10" s="703"/>
      <c r="J10" s="261"/>
    </row>
    <row r="11" spans="1:10" ht="30" customHeight="1">
      <c r="A11" s="270"/>
      <c r="B11" s="224"/>
      <c r="C11" s="118"/>
      <c r="D11" s="224"/>
      <c r="E11" s="691"/>
      <c r="F11" s="692"/>
      <c r="G11" s="118"/>
      <c r="H11" s="691"/>
      <c r="I11" s="703"/>
      <c r="J11" s="261"/>
    </row>
    <row r="12" spans="1:10" ht="30" customHeight="1" thickBot="1">
      <c r="A12" s="272"/>
      <c r="B12" s="224"/>
      <c r="C12" s="224"/>
      <c r="D12" s="224"/>
      <c r="E12" s="693"/>
      <c r="F12" s="694"/>
      <c r="G12" s="224"/>
      <c r="H12" s="693"/>
      <c r="I12" s="710"/>
      <c r="J12" s="261"/>
    </row>
    <row r="13" spans="1:10" ht="30" customHeight="1" thickBot="1">
      <c r="A13" s="273" t="s">
        <v>57</v>
      </c>
      <c r="B13" s="188">
        <f>SUM(B6:B12)</f>
        <v>0</v>
      </c>
      <c r="C13" s="188">
        <f>SUM(C6:C12)</f>
        <v>0</v>
      </c>
      <c r="D13" s="188">
        <f>SUM(D6:D12)</f>
        <v>0</v>
      </c>
      <c r="E13" s="695">
        <f>SUM(F6:F12)</f>
        <v>0</v>
      </c>
      <c r="F13" s="696"/>
      <c r="G13" s="188">
        <f>SUM(G6:G12)</f>
        <v>0</v>
      </c>
      <c r="H13" s="695">
        <f>SUM(H6:H12)</f>
        <v>0</v>
      </c>
      <c r="I13" s="702"/>
      <c r="J13" s="221"/>
    </row>
    <row r="14" spans="1:10" s="200" customFormat="1" ht="45" customHeight="1" thickTop="1">
      <c r="A14" s="589" t="s">
        <v>21</v>
      </c>
      <c r="B14" s="589"/>
      <c r="C14" s="196">
        <f>'صفحه اصلی'!C10</f>
        <v>0</v>
      </c>
      <c r="D14" s="274" t="s">
        <v>8</v>
      </c>
      <c r="E14" s="455">
        <f>'صفحه اصلی'!C11</f>
        <v>0</v>
      </c>
      <c r="F14" s="198" t="s">
        <v>9</v>
      </c>
      <c r="G14" s="455">
        <f>'صفحه اصلی'!C12</f>
        <v>0</v>
      </c>
      <c r="H14" s="199" t="s">
        <v>10</v>
      </c>
      <c r="I14" s="281">
        <f>'صفحه اصلی'!C13</f>
        <v>0</v>
      </c>
    </row>
    <row r="15" spans="1:10" ht="30" customHeight="1" thickBot="1">
      <c r="A15" s="587" t="s">
        <v>19</v>
      </c>
      <c r="B15" s="587"/>
      <c r="C15" s="587"/>
      <c r="D15" s="587"/>
      <c r="E15" s="587"/>
      <c r="F15" s="587"/>
      <c r="G15" s="587"/>
      <c r="H15" s="587"/>
      <c r="I15" s="266" t="s">
        <v>59</v>
      </c>
    </row>
    <row r="16" spans="1:10" ht="28.5" customHeight="1" thickTop="1" thickBot="1">
      <c r="A16" s="582" t="s">
        <v>392</v>
      </c>
      <c r="B16" s="583"/>
      <c r="C16" s="583"/>
      <c r="D16" s="583"/>
      <c r="E16" s="583"/>
      <c r="F16" s="583"/>
      <c r="G16" s="583"/>
      <c r="H16" s="583"/>
      <c r="I16" s="584"/>
      <c r="J16" s="202"/>
    </row>
    <row r="17" spans="1:11" ht="28.5" customHeight="1" thickBot="1">
      <c r="A17" s="203" t="s">
        <v>11</v>
      </c>
      <c r="B17" s="680"/>
      <c r="C17" s="680"/>
      <c r="D17" s="680"/>
      <c r="E17" s="680"/>
      <c r="F17" s="680"/>
      <c r="G17" s="680"/>
      <c r="H17" s="680"/>
      <c r="I17" s="681"/>
      <c r="J17" s="202"/>
      <c r="K17" s="267"/>
    </row>
    <row r="18" spans="1:11" ht="21" thickTop="1">
      <c r="J18" s="267"/>
    </row>
  </sheetData>
  <sheetProtection formatCells="0" formatColumns="0" formatRows="0" insertColumns="0" insertRows="0" insertHyperlinks="0" deleteColumns="0" deleteRows="0" sort="0" autoFilter="0" pivotTables="0"/>
  <mergeCells count="30">
    <mergeCell ref="H12:I12"/>
    <mergeCell ref="H6:I6"/>
    <mergeCell ref="H7:I7"/>
    <mergeCell ref="H8:I8"/>
    <mergeCell ref="H9:I9"/>
    <mergeCell ref="H10:I10"/>
    <mergeCell ref="J4:J5"/>
    <mergeCell ref="C2:E2"/>
    <mergeCell ref="A4:A5"/>
    <mergeCell ref="B4:B5"/>
    <mergeCell ref="C4:C5"/>
    <mergeCell ref="D4:D5"/>
    <mergeCell ref="H4:I5"/>
    <mergeCell ref="G4:G5"/>
    <mergeCell ref="A15:H15"/>
    <mergeCell ref="B17:I17"/>
    <mergeCell ref="A14:B14"/>
    <mergeCell ref="A16:I16"/>
    <mergeCell ref="A1:I1"/>
    <mergeCell ref="E11:F11"/>
    <mergeCell ref="E12:F12"/>
    <mergeCell ref="E13:F13"/>
    <mergeCell ref="E6:F6"/>
    <mergeCell ref="E4:F5"/>
    <mergeCell ref="E7:F7"/>
    <mergeCell ref="E8:F8"/>
    <mergeCell ref="E9:F9"/>
    <mergeCell ref="E10:F10"/>
    <mergeCell ref="H13:I13"/>
    <mergeCell ref="H11:I11"/>
  </mergeCells>
  <pageMargins left="0.3" right="0.31" top="0.75" bottom="0.75" header="0.3" footer="0.3"/>
  <pageSetup paperSize="9" scale="9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U84"/>
  <sheetViews>
    <sheetView showGridLines="0" rightToLeft="1" view="pageBreakPreview" zoomScale="80" zoomScaleNormal="90" zoomScaleSheetLayoutView="80" workbookViewId="0">
      <selection sqref="A1:J1"/>
    </sheetView>
  </sheetViews>
  <sheetFormatPr defaultRowHeight="20.25"/>
  <cols>
    <col min="1" max="1" width="11.5" style="167" customWidth="1"/>
    <col min="2" max="2" width="12.625" style="167" customWidth="1"/>
    <col min="3" max="3" width="9.625" style="167" customWidth="1"/>
    <col min="4" max="6" width="15.75" style="167" customWidth="1"/>
    <col min="7" max="8" width="15.25" style="167" customWidth="1"/>
    <col min="9" max="10" width="11.5" style="167" customWidth="1"/>
    <col min="11" max="11" width="4" style="167" customWidth="1"/>
    <col min="12" max="18" width="9" style="91"/>
    <col min="19" max="16384" width="9" style="167"/>
  </cols>
  <sheetData>
    <row r="1" spans="1:20" ht="30" customHeight="1">
      <c r="A1" s="646" t="s">
        <v>389</v>
      </c>
      <c r="B1" s="646"/>
      <c r="C1" s="646"/>
      <c r="D1" s="646"/>
      <c r="E1" s="646"/>
      <c r="F1" s="646"/>
      <c r="G1" s="646"/>
      <c r="H1" s="646"/>
      <c r="I1" s="646"/>
      <c r="J1" s="646"/>
      <c r="K1" s="60"/>
      <c r="L1" s="205"/>
      <c r="M1" s="205"/>
      <c r="N1" s="205"/>
    </row>
    <row r="2" spans="1:20" s="4" customFormat="1" ht="31.5" customHeight="1">
      <c r="A2" s="716" t="s">
        <v>556</v>
      </c>
      <c r="B2" s="716"/>
      <c r="C2" s="716"/>
      <c r="D2" s="716"/>
      <c r="E2" s="716"/>
      <c r="F2" s="716"/>
      <c r="G2" s="716"/>
      <c r="H2" s="716"/>
      <c r="I2" s="716"/>
      <c r="J2" s="716"/>
      <c r="K2" s="60"/>
      <c r="L2" s="92"/>
      <c r="M2" s="92"/>
      <c r="N2" s="92"/>
      <c r="O2" s="92"/>
      <c r="P2" s="92"/>
      <c r="Q2" s="92"/>
      <c r="R2" s="92"/>
    </row>
    <row r="3" spans="1:20" s="210" customFormat="1" ht="29.25" customHeight="1">
      <c r="A3" s="206" t="s">
        <v>0</v>
      </c>
      <c r="B3" s="207">
        <f>'صفحه اصلی'!C7</f>
        <v>0</v>
      </c>
      <c r="C3" s="207"/>
      <c r="D3" s="208"/>
      <c r="E3" s="208"/>
      <c r="F3" s="208"/>
      <c r="G3" s="207"/>
      <c r="H3" s="207"/>
      <c r="I3" s="207"/>
      <c r="J3" s="207"/>
      <c r="K3" s="209"/>
      <c r="L3" s="176"/>
      <c r="M3" s="176"/>
      <c r="N3" s="176"/>
      <c r="O3" s="176"/>
      <c r="P3" s="176"/>
      <c r="Q3" s="176"/>
      <c r="R3" s="176"/>
    </row>
    <row r="4" spans="1:20" s="67" customFormat="1" ht="29.25" customHeight="1" thickBot="1">
      <c r="A4" s="63" t="s">
        <v>1</v>
      </c>
      <c r="B4" s="64">
        <f>'صفحه اصلی'!C8</f>
        <v>0</v>
      </c>
      <c r="C4" s="64"/>
      <c r="D4" s="65"/>
      <c r="E4" s="65"/>
      <c r="F4" s="715" t="s">
        <v>65</v>
      </c>
      <c r="G4" s="715"/>
      <c r="H4" s="64">
        <f>'صفحه اصلی'!C9</f>
        <v>0</v>
      </c>
      <c r="I4" s="64"/>
      <c r="J4" s="63"/>
      <c r="K4" s="66"/>
      <c r="L4" s="93"/>
      <c r="M4" s="93"/>
      <c r="N4" s="93"/>
      <c r="O4" s="93"/>
      <c r="P4" s="93"/>
      <c r="Q4" s="93"/>
      <c r="R4" s="93"/>
    </row>
    <row r="5" spans="1:20" s="216" customFormat="1" ht="38.25" customHeight="1" thickTop="1" thickBot="1">
      <c r="A5" s="211" t="s">
        <v>56</v>
      </c>
      <c r="B5" s="717" t="s">
        <v>60</v>
      </c>
      <c r="C5" s="718"/>
      <c r="D5" s="212" t="s">
        <v>387</v>
      </c>
      <c r="E5" s="212" t="s">
        <v>388</v>
      </c>
      <c r="F5" s="212" t="s">
        <v>61</v>
      </c>
      <c r="G5" s="213" t="s">
        <v>386</v>
      </c>
      <c r="H5" s="213" t="s">
        <v>385</v>
      </c>
      <c r="I5" s="213" t="s">
        <v>62</v>
      </c>
      <c r="J5" s="214" t="s">
        <v>63</v>
      </c>
      <c r="K5" s="193"/>
      <c r="L5" s="215"/>
      <c r="M5" s="215"/>
      <c r="N5" s="215"/>
      <c r="O5" s="215"/>
      <c r="P5" s="215"/>
      <c r="Q5" s="215"/>
      <c r="R5" s="215"/>
    </row>
    <row r="6" spans="1:20" ht="30" customHeight="1">
      <c r="A6" s="217"/>
      <c r="B6" s="719"/>
      <c r="C6" s="720"/>
      <c r="D6" s="178"/>
      <c r="E6" s="178"/>
      <c r="F6" s="178"/>
      <c r="G6" s="218" t="str">
        <f t="shared" ref="G6:G11" si="0">IF(E6&gt;D6,E6-D6," ")</f>
        <v xml:space="preserve"> </v>
      </c>
      <c r="H6" s="219" t="str">
        <f t="shared" ref="H6:H11" si="1">IF(D6&gt;E6,D6-E6," ")</f>
        <v xml:space="preserve"> </v>
      </c>
      <c r="I6" s="118"/>
      <c r="J6" s="220"/>
      <c r="K6" s="221"/>
      <c r="L6" s="733" t="str">
        <f>IF(D12='رو کش تراز '!G133," ","مغایرت جمع ستون پیش بینی با پیش بینی درآمدهای عمومی در روکش تراز")</f>
        <v xml:space="preserve"> </v>
      </c>
      <c r="M6" s="733"/>
      <c r="N6" s="733"/>
      <c r="O6" s="733"/>
      <c r="P6" s="733"/>
      <c r="Q6" s="733"/>
      <c r="R6" s="733"/>
      <c r="S6" s="733"/>
      <c r="T6" s="733"/>
    </row>
    <row r="7" spans="1:20" ht="30" customHeight="1">
      <c r="A7" s="222"/>
      <c r="B7" s="721"/>
      <c r="C7" s="722"/>
      <c r="D7" s="223"/>
      <c r="E7" s="223"/>
      <c r="F7" s="223"/>
      <c r="G7" s="218" t="str">
        <f t="shared" si="0"/>
        <v xml:space="preserve"> </v>
      </c>
      <c r="H7" s="219" t="str">
        <f t="shared" si="1"/>
        <v xml:space="preserve"> </v>
      </c>
      <c r="I7" s="224"/>
      <c r="J7" s="225"/>
      <c r="K7" s="221"/>
      <c r="L7" s="734" t="str">
        <f>IF(E12='رو کش تراز '!O137," ","مغایرت جمع ستون وصولی با درآمد عمومی وصولی در روکش تراز")</f>
        <v xml:space="preserve"> </v>
      </c>
      <c r="M7" s="734"/>
      <c r="N7" s="734"/>
      <c r="O7" s="734"/>
      <c r="P7" s="734"/>
      <c r="Q7" s="734"/>
      <c r="R7" s="167"/>
    </row>
    <row r="8" spans="1:20" ht="30" customHeight="1">
      <c r="A8" s="222"/>
      <c r="B8" s="721"/>
      <c r="C8" s="722"/>
      <c r="D8" s="223"/>
      <c r="E8" s="223"/>
      <c r="F8" s="223"/>
      <c r="G8" s="218" t="str">
        <f t="shared" si="0"/>
        <v xml:space="preserve"> </v>
      </c>
      <c r="H8" s="219" t="str">
        <f t="shared" si="1"/>
        <v xml:space="preserve"> </v>
      </c>
      <c r="I8" s="117"/>
      <c r="J8" s="227"/>
      <c r="K8" s="221"/>
      <c r="L8" s="735" t="str">
        <f>IF(F12='رو کش تراز '!C138," ","مغایرت جمع ستون واریزی به خزانه با خزانه وجوه تمرکز درآمد عمومی در روکش تراز ")</f>
        <v xml:space="preserve"> </v>
      </c>
      <c r="M8" s="735"/>
      <c r="N8" s="735"/>
      <c r="O8" s="735"/>
      <c r="P8" s="735"/>
      <c r="Q8" s="735"/>
      <c r="R8" s="735"/>
      <c r="S8" s="735"/>
      <c r="T8" s="735"/>
    </row>
    <row r="9" spans="1:20" ht="30" customHeight="1">
      <c r="A9" s="222"/>
      <c r="B9" s="721"/>
      <c r="C9" s="722"/>
      <c r="D9" s="178"/>
      <c r="E9" s="178"/>
      <c r="F9" s="178"/>
      <c r="G9" s="218" t="str">
        <f t="shared" si="0"/>
        <v xml:space="preserve"> </v>
      </c>
      <c r="H9" s="219" t="str">
        <f t="shared" si="1"/>
        <v xml:space="preserve"> </v>
      </c>
      <c r="I9" s="224"/>
      <c r="J9" s="225"/>
      <c r="K9" s="221"/>
      <c r="L9" s="590"/>
      <c r="M9" s="590"/>
      <c r="N9" s="590"/>
      <c r="O9" s="590"/>
      <c r="P9" s="590"/>
      <c r="Q9" s="590"/>
    </row>
    <row r="10" spans="1:20" ht="30" customHeight="1">
      <c r="A10" s="222"/>
      <c r="B10" s="721"/>
      <c r="C10" s="722"/>
      <c r="D10" s="223"/>
      <c r="E10" s="223"/>
      <c r="F10" s="223"/>
      <c r="G10" s="218" t="str">
        <f t="shared" si="0"/>
        <v xml:space="preserve"> </v>
      </c>
      <c r="H10" s="219" t="str">
        <f t="shared" si="1"/>
        <v xml:space="preserve"> </v>
      </c>
      <c r="I10" s="118"/>
      <c r="J10" s="220"/>
      <c r="K10" s="221"/>
      <c r="L10" s="590"/>
      <c r="M10" s="590"/>
      <c r="N10" s="590"/>
      <c r="O10" s="590"/>
      <c r="P10" s="590"/>
      <c r="Q10" s="590"/>
    </row>
    <row r="11" spans="1:20" ht="30" customHeight="1" thickBot="1">
      <c r="A11" s="222"/>
      <c r="B11" s="723"/>
      <c r="C11" s="724"/>
      <c r="D11" s="114"/>
      <c r="E11" s="114"/>
      <c r="F11" s="114"/>
      <c r="G11" s="228" t="str">
        <f t="shared" si="0"/>
        <v xml:space="preserve"> </v>
      </c>
      <c r="H11" s="229" t="str">
        <f t="shared" si="1"/>
        <v xml:space="preserve"> </v>
      </c>
      <c r="I11" s="115"/>
      <c r="J11" s="230"/>
      <c r="K11" s="221"/>
      <c r="L11" s="590"/>
      <c r="M11" s="590"/>
      <c r="N11" s="590"/>
      <c r="O11" s="590"/>
      <c r="P11" s="590"/>
      <c r="Q11" s="590"/>
    </row>
    <row r="12" spans="1:20" ht="30" customHeight="1" thickBot="1">
      <c r="A12" s="712" t="s">
        <v>57</v>
      </c>
      <c r="B12" s="713"/>
      <c r="C12" s="714"/>
      <c r="D12" s="79">
        <f>SUM(D6:D11)</f>
        <v>0</v>
      </c>
      <c r="E12" s="79">
        <f t="shared" ref="E12:J12" si="2">SUM(E6:E11)</f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79">
        <f t="shared" si="2"/>
        <v>0</v>
      </c>
      <c r="J12" s="79">
        <f t="shared" si="2"/>
        <v>0</v>
      </c>
      <c r="K12" s="221"/>
      <c r="L12" s="590"/>
      <c r="M12" s="590"/>
      <c r="N12" s="590"/>
      <c r="O12" s="590"/>
      <c r="P12" s="590"/>
      <c r="Q12" s="590"/>
    </row>
    <row r="13" spans="1:20" s="200" customFormat="1" ht="45" customHeight="1" thickTop="1">
      <c r="A13" s="589" t="s">
        <v>21</v>
      </c>
      <c r="B13" s="589"/>
      <c r="C13" s="196">
        <f>'صفحه اصلی'!C10</f>
        <v>0</v>
      </c>
      <c r="D13" s="589" t="s">
        <v>8</v>
      </c>
      <c r="E13" s="589"/>
      <c r="F13" s="455">
        <f>'صفحه اصلی'!C11</f>
        <v>0</v>
      </c>
      <c r="G13" s="198" t="s">
        <v>9</v>
      </c>
      <c r="H13" s="455">
        <f>'صفحه اصلی'!C12</f>
        <v>0</v>
      </c>
      <c r="I13" s="199" t="s">
        <v>10</v>
      </c>
      <c r="J13" s="281">
        <f>'صفحه اصلی'!C13</f>
        <v>0</v>
      </c>
      <c r="L13" s="90"/>
      <c r="M13" s="90"/>
      <c r="N13" s="90"/>
      <c r="O13" s="90"/>
      <c r="P13" s="90"/>
      <c r="Q13" s="90"/>
      <c r="R13" s="90"/>
    </row>
    <row r="14" spans="1:20" s="200" customFormat="1" ht="30" customHeight="1" thickBot="1">
      <c r="A14" s="587" t="s">
        <v>19</v>
      </c>
      <c r="B14" s="587"/>
      <c r="C14" s="587"/>
      <c r="D14" s="587"/>
      <c r="E14" s="587"/>
      <c r="F14" s="587"/>
      <c r="G14" s="587"/>
      <c r="H14" s="587"/>
      <c r="I14" s="587"/>
      <c r="J14" s="201" t="s">
        <v>64</v>
      </c>
      <c r="L14" s="90"/>
      <c r="M14" s="90"/>
      <c r="N14" s="90"/>
      <c r="O14" s="90"/>
      <c r="P14" s="90"/>
      <c r="Q14" s="90"/>
      <c r="R14" s="90"/>
    </row>
    <row r="15" spans="1:20" ht="28.5" customHeight="1" thickTop="1" thickBot="1">
      <c r="A15" s="582" t="s">
        <v>398</v>
      </c>
      <c r="B15" s="583"/>
      <c r="C15" s="583"/>
      <c r="D15" s="583"/>
      <c r="E15" s="583"/>
      <c r="F15" s="583"/>
      <c r="G15" s="583"/>
      <c r="H15" s="583"/>
      <c r="I15" s="583"/>
      <c r="J15" s="584"/>
      <c r="K15" s="202"/>
    </row>
    <row r="16" spans="1:20" ht="28.5" customHeight="1" thickBot="1">
      <c r="A16" s="203" t="s">
        <v>11</v>
      </c>
      <c r="B16" s="727"/>
      <c r="C16" s="727"/>
      <c r="D16" s="727"/>
      <c r="E16" s="727"/>
      <c r="F16" s="727"/>
      <c r="G16" s="727"/>
      <c r="H16" s="727"/>
      <c r="I16" s="727"/>
      <c r="J16" s="728"/>
      <c r="K16" s="202"/>
      <c r="L16" s="204"/>
    </row>
    <row r="17" spans="1:20" s="231" customFormat="1" ht="21" thickTop="1">
      <c r="L17" s="232"/>
      <c r="M17" s="232"/>
      <c r="N17" s="232"/>
      <c r="O17" s="232"/>
      <c r="P17" s="232"/>
      <c r="Q17" s="232"/>
      <c r="R17" s="232"/>
    </row>
    <row r="18" spans="1:20" ht="30" customHeight="1">
      <c r="A18" s="646" t="s">
        <v>389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0"/>
      <c r="L18" s="205"/>
      <c r="M18" s="205"/>
      <c r="N18" s="205"/>
    </row>
    <row r="19" spans="1:20" s="4" customFormat="1" ht="31.5" customHeight="1">
      <c r="A19" s="716" t="s">
        <v>555</v>
      </c>
      <c r="B19" s="716"/>
      <c r="C19" s="716"/>
      <c r="D19" s="716"/>
      <c r="E19" s="716"/>
      <c r="F19" s="716"/>
      <c r="G19" s="716"/>
      <c r="H19" s="716"/>
      <c r="I19" s="716"/>
      <c r="J19" s="716"/>
      <c r="K19" s="60"/>
      <c r="L19" s="92"/>
      <c r="M19" s="92"/>
      <c r="N19" s="92"/>
      <c r="O19" s="92"/>
      <c r="P19" s="92"/>
      <c r="Q19" s="92"/>
      <c r="R19" s="92"/>
    </row>
    <row r="20" spans="1:20" s="210" customFormat="1" ht="29.25" customHeight="1">
      <c r="A20" s="206" t="s">
        <v>0</v>
      </c>
      <c r="B20" s="207">
        <f>'صفحه اصلی'!C7</f>
        <v>0</v>
      </c>
      <c r="C20" s="207"/>
      <c r="D20" s="208"/>
      <c r="E20" s="208"/>
      <c r="F20" s="208"/>
      <c r="G20" s="207"/>
      <c r="H20" s="207"/>
      <c r="I20" s="207"/>
      <c r="J20" s="207"/>
      <c r="K20" s="209"/>
      <c r="L20" s="176"/>
      <c r="M20" s="176"/>
      <c r="N20" s="176"/>
      <c r="O20" s="176"/>
      <c r="P20" s="176"/>
      <c r="Q20" s="176"/>
      <c r="R20" s="176"/>
    </row>
    <row r="21" spans="1:20" s="67" customFormat="1" ht="29.25" customHeight="1" thickBot="1">
      <c r="A21" s="63" t="s">
        <v>1</v>
      </c>
      <c r="B21" s="64">
        <f>'صفحه اصلی'!C8</f>
        <v>0</v>
      </c>
      <c r="C21" s="64"/>
      <c r="D21" s="65"/>
      <c r="E21" s="65"/>
      <c r="F21" s="715" t="s">
        <v>65</v>
      </c>
      <c r="G21" s="715"/>
      <c r="H21" s="64">
        <f>'صفحه اصلی'!C9</f>
        <v>0</v>
      </c>
      <c r="I21" s="64"/>
      <c r="J21" s="63"/>
      <c r="K21" s="66"/>
      <c r="L21" s="93"/>
      <c r="M21" s="93"/>
      <c r="N21" s="93"/>
      <c r="O21" s="93"/>
      <c r="P21" s="93"/>
      <c r="Q21" s="93"/>
      <c r="R21" s="93"/>
    </row>
    <row r="22" spans="1:20" s="236" customFormat="1" ht="38.25" customHeight="1" thickTop="1" thickBot="1">
      <c r="A22" s="233" t="s">
        <v>56</v>
      </c>
      <c r="B22" s="725" t="s">
        <v>60</v>
      </c>
      <c r="C22" s="726"/>
      <c r="D22" s="213" t="s">
        <v>387</v>
      </c>
      <c r="E22" s="213" t="s">
        <v>388</v>
      </c>
      <c r="F22" s="213" t="s">
        <v>61</v>
      </c>
      <c r="G22" s="213" t="s">
        <v>386</v>
      </c>
      <c r="H22" s="213" t="s">
        <v>385</v>
      </c>
      <c r="I22" s="213" t="s">
        <v>62</v>
      </c>
      <c r="J22" s="214" t="s">
        <v>63</v>
      </c>
      <c r="K22" s="234"/>
      <c r="L22" s="235"/>
      <c r="M22" s="235"/>
      <c r="N22" s="235"/>
      <c r="O22" s="235"/>
      <c r="P22" s="235"/>
      <c r="Q22" s="235"/>
      <c r="R22" s="235"/>
    </row>
    <row r="23" spans="1:20" ht="30" customHeight="1">
      <c r="A23" s="217"/>
      <c r="B23" s="719"/>
      <c r="C23" s="720"/>
      <c r="D23" s="178"/>
      <c r="E23" s="178"/>
      <c r="F23" s="178"/>
      <c r="G23" s="218" t="str">
        <f t="shared" ref="G23:G28" si="3">IF(E23&gt;D23,E23-D23," ")</f>
        <v xml:space="preserve"> </v>
      </c>
      <c r="H23" s="219" t="str">
        <f t="shared" ref="H23:H28" si="4">IF(D23&gt;E23,D23-E23," ")</f>
        <v xml:space="preserve"> </v>
      </c>
      <c r="I23" s="118"/>
      <c r="J23" s="220"/>
      <c r="K23" s="221"/>
      <c r="L23" s="734" t="str">
        <f>IF(D29=('رو کش تراز '!G254)," ","مغایرت جمع ستون پیش بینی با پیش بینی درآمد اختصاصی در روکش تراز")</f>
        <v xml:space="preserve"> </v>
      </c>
      <c r="M23" s="734"/>
      <c r="N23" s="734"/>
      <c r="O23" s="734"/>
      <c r="P23" s="734"/>
      <c r="Q23" s="734"/>
      <c r="R23" s="734"/>
      <c r="S23" s="734"/>
      <c r="T23" s="734"/>
    </row>
    <row r="24" spans="1:20" ht="30" customHeight="1">
      <c r="A24" s="222"/>
      <c r="B24" s="721"/>
      <c r="C24" s="722"/>
      <c r="D24" s="223"/>
      <c r="E24" s="223"/>
      <c r="F24" s="223"/>
      <c r="G24" s="218" t="str">
        <f t="shared" si="3"/>
        <v xml:space="preserve"> </v>
      </c>
      <c r="H24" s="219" t="str">
        <f t="shared" si="4"/>
        <v xml:space="preserve"> </v>
      </c>
      <c r="I24" s="224"/>
      <c r="J24" s="225"/>
      <c r="K24" s="221"/>
      <c r="L24" s="734" t="str">
        <f>IF(E29='رو کش تراز '!O258," ","مغایرت جمع ستون وصولی با درآمد اختصاصی وصولی در روکش تراز")</f>
        <v xml:space="preserve"> </v>
      </c>
      <c r="M24" s="734"/>
      <c r="N24" s="734"/>
      <c r="O24" s="734"/>
      <c r="P24" s="734"/>
      <c r="Q24" s="734"/>
      <c r="R24" s="734"/>
      <c r="S24" s="734"/>
      <c r="T24" s="734"/>
    </row>
    <row r="25" spans="1:20" ht="30" customHeight="1">
      <c r="A25" s="222"/>
      <c r="B25" s="721"/>
      <c r="C25" s="722"/>
      <c r="D25" s="178"/>
      <c r="E25" s="223"/>
      <c r="F25" s="223"/>
      <c r="G25" s="218" t="str">
        <f t="shared" si="3"/>
        <v xml:space="preserve"> </v>
      </c>
      <c r="H25" s="219" t="str">
        <f t="shared" si="4"/>
        <v xml:space="preserve"> </v>
      </c>
      <c r="I25" s="117"/>
      <c r="J25" s="227"/>
      <c r="K25" s="221"/>
      <c r="L25" s="735"/>
      <c r="M25" s="735"/>
      <c r="N25" s="735"/>
      <c r="O25" s="735"/>
      <c r="P25" s="735"/>
      <c r="Q25" s="735"/>
      <c r="R25" s="735"/>
      <c r="S25" s="735"/>
      <c r="T25" s="735"/>
    </row>
    <row r="26" spans="1:20" ht="30" customHeight="1">
      <c r="A26" s="222"/>
      <c r="B26" s="721"/>
      <c r="C26" s="722"/>
      <c r="D26" s="237"/>
      <c r="E26" s="223"/>
      <c r="F26" s="178"/>
      <c r="G26" s="218" t="str">
        <f t="shared" si="3"/>
        <v xml:space="preserve"> </v>
      </c>
      <c r="H26" s="219" t="str">
        <f t="shared" si="4"/>
        <v xml:space="preserve"> </v>
      </c>
      <c r="I26" s="224"/>
      <c r="J26" s="225"/>
      <c r="K26" s="221"/>
    </row>
    <row r="27" spans="1:20" ht="30" customHeight="1">
      <c r="A27" s="222"/>
      <c r="B27" s="721"/>
      <c r="C27" s="722"/>
      <c r="D27" s="223"/>
      <c r="E27" s="223"/>
      <c r="F27" s="223"/>
      <c r="G27" s="218" t="str">
        <f t="shared" si="3"/>
        <v xml:space="preserve"> </v>
      </c>
      <c r="H27" s="219" t="str">
        <f t="shared" si="4"/>
        <v xml:space="preserve"> </v>
      </c>
      <c r="I27" s="118"/>
      <c r="J27" s="220"/>
      <c r="K27" s="221"/>
      <c r="L27" s="590"/>
      <c r="M27" s="590"/>
      <c r="N27" s="590"/>
      <c r="O27" s="590"/>
      <c r="P27" s="590"/>
      <c r="Q27" s="590"/>
    </row>
    <row r="28" spans="1:20" ht="30" customHeight="1" thickBot="1">
      <c r="A28" s="222"/>
      <c r="B28" s="723"/>
      <c r="C28" s="724"/>
      <c r="D28" s="114"/>
      <c r="E28" s="114"/>
      <c r="F28" s="114"/>
      <c r="G28" s="228" t="str">
        <f t="shared" si="3"/>
        <v xml:space="preserve"> </v>
      </c>
      <c r="H28" s="229" t="str">
        <f t="shared" si="4"/>
        <v xml:space="preserve"> </v>
      </c>
      <c r="I28" s="115"/>
      <c r="J28" s="230"/>
      <c r="K28" s="221"/>
      <c r="L28" s="590"/>
      <c r="M28" s="590"/>
      <c r="N28" s="590"/>
      <c r="O28" s="590"/>
      <c r="P28" s="590"/>
      <c r="Q28" s="590"/>
    </row>
    <row r="29" spans="1:20" ht="30" customHeight="1" thickBot="1">
      <c r="A29" s="712" t="s">
        <v>57</v>
      </c>
      <c r="B29" s="713"/>
      <c r="C29" s="714"/>
      <c r="D29" s="79">
        <f t="shared" ref="D29:J29" si="5">SUM(D23:D28)</f>
        <v>0</v>
      </c>
      <c r="E29" s="79">
        <f t="shared" si="5"/>
        <v>0</v>
      </c>
      <c r="F29" s="79">
        <f t="shared" si="5"/>
        <v>0</v>
      </c>
      <c r="G29" s="79">
        <f t="shared" si="5"/>
        <v>0</v>
      </c>
      <c r="H29" s="79">
        <f t="shared" si="5"/>
        <v>0</v>
      </c>
      <c r="I29" s="79">
        <f t="shared" si="5"/>
        <v>0</v>
      </c>
      <c r="J29" s="238">
        <f t="shared" si="5"/>
        <v>0</v>
      </c>
      <c r="K29" s="221"/>
      <c r="L29" s="590"/>
      <c r="M29" s="590"/>
      <c r="N29" s="590"/>
      <c r="O29" s="590"/>
      <c r="P29" s="590"/>
      <c r="Q29" s="590"/>
    </row>
    <row r="30" spans="1:20" s="200" customFormat="1" ht="45" customHeight="1" thickTop="1">
      <c r="A30" s="589" t="s">
        <v>21</v>
      </c>
      <c r="B30" s="589"/>
      <c r="C30" s="239">
        <f>'صفحه اصلی'!C10</f>
        <v>0</v>
      </c>
      <c r="D30" s="589" t="s">
        <v>8</v>
      </c>
      <c r="E30" s="589"/>
      <c r="F30" s="240">
        <f>'صفحه اصلی'!C11</f>
        <v>0</v>
      </c>
      <c r="G30" s="198" t="s">
        <v>9</v>
      </c>
      <c r="H30" s="240">
        <f>'صفحه اصلی'!C12</f>
        <v>0</v>
      </c>
      <c r="I30" s="199" t="s">
        <v>10</v>
      </c>
      <c r="J30" s="241">
        <f>'صفحه اصلی'!C13</f>
        <v>0</v>
      </c>
      <c r="L30" s="90"/>
      <c r="M30" s="90"/>
      <c r="N30" s="90"/>
      <c r="O30" s="90"/>
      <c r="P30" s="90"/>
      <c r="Q30" s="90"/>
      <c r="R30" s="90"/>
    </row>
    <row r="31" spans="1:20" s="200" customFormat="1" ht="30" customHeight="1" thickBot="1">
      <c r="A31" s="587" t="s">
        <v>19</v>
      </c>
      <c r="B31" s="587"/>
      <c r="C31" s="587"/>
      <c r="D31" s="587"/>
      <c r="E31" s="587"/>
      <c r="F31" s="587"/>
      <c r="G31" s="587"/>
      <c r="H31" s="587"/>
      <c r="I31" s="587"/>
      <c r="J31" s="201" t="s">
        <v>64</v>
      </c>
      <c r="L31" s="90"/>
      <c r="M31" s="90"/>
      <c r="N31" s="90"/>
      <c r="O31" s="90"/>
      <c r="P31" s="90"/>
      <c r="Q31" s="90"/>
      <c r="R31" s="90"/>
    </row>
    <row r="32" spans="1:20" ht="28.5" customHeight="1" thickTop="1" thickBot="1">
      <c r="A32" s="582" t="s">
        <v>398</v>
      </c>
      <c r="B32" s="583"/>
      <c r="C32" s="583"/>
      <c r="D32" s="583"/>
      <c r="E32" s="583"/>
      <c r="F32" s="583"/>
      <c r="G32" s="583"/>
      <c r="H32" s="583"/>
      <c r="I32" s="583"/>
      <c r="J32" s="584"/>
      <c r="K32" s="202"/>
    </row>
    <row r="33" spans="1:18" ht="28.5" customHeight="1" thickBot="1">
      <c r="A33" s="203" t="s">
        <v>11</v>
      </c>
      <c r="B33" s="727"/>
      <c r="C33" s="727"/>
      <c r="D33" s="727"/>
      <c r="E33" s="727"/>
      <c r="F33" s="727"/>
      <c r="G33" s="727"/>
      <c r="H33" s="727"/>
      <c r="I33" s="727"/>
      <c r="J33" s="728"/>
      <c r="K33" s="202"/>
      <c r="L33" s="204"/>
    </row>
    <row r="34" spans="1:18" s="231" customFormat="1" ht="21" thickTop="1">
      <c r="L34" s="232"/>
      <c r="M34" s="232"/>
      <c r="N34" s="232"/>
      <c r="O34" s="232"/>
      <c r="P34" s="232"/>
      <c r="Q34" s="232"/>
      <c r="R34" s="232"/>
    </row>
    <row r="35" spans="1:18" ht="30" customHeight="1">
      <c r="A35" s="646" t="s">
        <v>389</v>
      </c>
      <c r="B35" s="646"/>
      <c r="C35" s="646"/>
      <c r="D35" s="646"/>
      <c r="E35" s="646"/>
      <c r="F35" s="646"/>
      <c r="G35" s="646"/>
      <c r="H35" s="646"/>
      <c r="I35" s="646"/>
      <c r="J35" s="646"/>
      <c r="K35" s="60"/>
      <c r="L35" s="205"/>
      <c r="M35" s="205"/>
      <c r="N35" s="205"/>
    </row>
    <row r="36" spans="1:18" s="4" customFormat="1" ht="31.5" customHeight="1">
      <c r="A36" s="716" t="s">
        <v>557</v>
      </c>
      <c r="B36" s="716"/>
      <c r="C36" s="716"/>
      <c r="D36" s="716"/>
      <c r="E36" s="716"/>
      <c r="F36" s="716"/>
      <c r="G36" s="716"/>
      <c r="H36" s="716"/>
      <c r="I36" s="716"/>
      <c r="J36" s="716"/>
      <c r="K36" s="60"/>
      <c r="L36" s="92"/>
      <c r="M36" s="92"/>
      <c r="N36" s="92"/>
      <c r="O36" s="92"/>
      <c r="P36" s="92"/>
      <c r="Q36" s="92"/>
      <c r="R36" s="92"/>
    </row>
    <row r="37" spans="1:18" s="210" customFormat="1" ht="29.25" customHeight="1">
      <c r="A37" s="206" t="s">
        <v>0</v>
      </c>
      <c r="B37" s="207">
        <f>'صفحه اصلی'!C7</f>
        <v>0</v>
      </c>
      <c r="C37" s="207"/>
      <c r="D37" s="208"/>
      <c r="E37" s="208"/>
      <c r="F37" s="208"/>
      <c r="G37" s="207"/>
      <c r="H37" s="207"/>
      <c r="I37" s="207"/>
      <c r="J37" s="207"/>
      <c r="K37" s="209"/>
      <c r="L37" s="176"/>
      <c r="M37" s="176"/>
      <c r="N37" s="176"/>
      <c r="O37" s="176"/>
      <c r="P37" s="176"/>
      <c r="Q37" s="176"/>
      <c r="R37" s="176"/>
    </row>
    <row r="38" spans="1:18" s="67" customFormat="1" ht="29.25" customHeight="1" thickBot="1">
      <c r="A38" s="63" t="s">
        <v>1</v>
      </c>
      <c r="B38" s="64">
        <f>'صفحه اصلی'!C8</f>
        <v>0</v>
      </c>
      <c r="C38" s="64"/>
      <c r="D38" s="65"/>
      <c r="E38" s="65"/>
      <c r="F38" s="715" t="s">
        <v>65</v>
      </c>
      <c r="G38" s="715"/>
      <c r="H38" s="64">
        <f>'صفحه اصلی'!C9</f>
        <v>0</v>
      </c>
      <c r="I38" s="64"/>
      <c r="J38" s="63"/>
      <c r="K38" s="66"/>
      <c r="L38" s="93"/>
      <c r="M38" s="93"/>
      <c r="N38" s="93"/>
      <c r="O38" s="93"/>
      <c r="P38" s="93"/>
      <c r="Q38" s="93"/>
      <c r="R38" s="93"/>
    </row>
    <row r="39" spans="1:18" s="236" customFormat="1" ht="38.25" customHeight="1" thickTop="1" thickBot="1">
      <c r="A39" s="233" t="s">
        <v>56</v>
      </c>
      <c r="B39" s="725" t="s">
        <v>60</v>
      </c>
      <c r="C39" s="726"/>
      <c r="D39" s="213" t="s">
        <v>387</v>
      </c>
      <c r="E39" s="213" t="s">
        <v>388</v>
      </c>
      <c r="F39" s="213" t="s">
        <v>61</v>
      </c>
      <c r="G39" s="213" t="s">
        <v>386</v>
      </c>
      <c r="H39" s="213" t="s">
        <v>385</v>
      </c>
      <c r="I39" s="213" t="s">
        <v>62</v>
      </c>
      <c r="J39" s="214" t="s">
        <v>63</v>
      </c>
      <c r="K39" s="234"/>
      <c r="L39" s="235"/>
      <c r="M39" s="235"/>
      <c r="N39" s="235"/>
      <c r="O39" s="235"/>
      <c r="P39" s="235"/>
      <c r="Q39" s="235"/>
      <c r="R39" s="235"/>
    </row>
    <row r="40" spans="1:18" ht="30" customHeight="1">
      <c r="A40" s="222"/>
      <c r="B40" s="721"/>
      <c r="C40" s="722"/>
      <c r="D40" s="223"/>
      <c r="E40" s="223"/>
      <c r="F40" s="223"/>
      <c r="G40" s="218" t="str">
        <f t="shared" ref="G40:G45" si="6">IF(E40&gt;D40,E40-D40," ")</f>
        <v xml:space="preserve"> </v>
      </c>
      <c r="H40" s="219" t="str">
        <f t="shared" ref="H40:H45" si="7">IF(D40&gt;E40,D40-E40," ")</f>
        <v xml:space="preserve"> </v>
      </c>
      <c r="I40" s="451"/>
      <c r="J40" s="225"/>
      <c r="K40" s="221"/>
      <c r="L40" s="734"/>
      <c r="M40" s="734"/>
      <c r="N40" s="734"/>
      <c r="O40" s="734"/>
      <c r="P40" s="734"/>
      <c r="Q40" s="734"/>
      <c r="R40" s="734"/>
    </row>
    <row r="41" spans="1:18" ht="30" customHeight="1">
      <c r="A41" s="222"/>
      <c r="B41" s="721"/>
      <c r="C41" s="722"/>
      <c r="D41" s="223"/>
      <c r="E41" s="223"/>
      <c r="F41" s="223"/>
      <c r="G41" s="218" t="str">
        <f t="shared" si="6"/>
        <v xml:space="preserve"> </v>
      </c>
      <c r="H41" s="219" t="str">
        <f t="shared" si="7"/>
        <v xml:space="preserve"> </v>
      </c>
      <c r="I41" s="224"/>
      <c r="J41" s="225"/>
      <c r="K41" s="221"/>
      <c r="L41" s="167"/>
      <c r="M41" s="167"/>
      <c r="N41" s="167"/>
      <c r="O41" s="167"/>
      <c r="P41" s="167"/>
      <c r="Q41" s="167"/>
      <c r="R41" s="167"/>
    </row>
    <row r="42" spans="1:18" ht="30" customHeight="1">
      <c r="A42" s="226"/>
      <c r="B42" s="721"/>
      <c r="C42" s="722"/>
      <c r="D42" s="178"/>
      <c r="E42" s="223"/>
      <c r="F42" s="223"/>
      <c r="G42" s="218" t="str">
        <f t="shared" si="6"/>
        <v xml:space="preserve"> </v>
      </c>
      <c r="H42" s="219" t="str">
        <f t="shared" si="7"/>
        <v xml:space="preserve"> </v>
      </c>
      <c r="I42" s="117"/>
      <c r="J42" s="227"/>
      <c r="K42" s="221"/>
    </row>
    <row r="43" spans="1:18" ht="30" customHeight="1">
      <c r="A43" s="226"/>
      <c r="B43" s="721"/>
      <c r="C43" s="722"/>
      <c r="D43" s="237"/>
      <c r="E43" s="223"/>
      <c r="F43" s="178"/>
      <c r="G43" s="218" t="str">
        <f t="shared" si="6"/>
        <v xml:space="preserve"> </v>
      </c>
      <c r="H43" s="219" t="str">
        <f t="shared" si="7"/>
        <v xml:space="preserve"> </v>
      </c>
      <c r="I43" s="224"/>
      <c r="J43" s="225"/>
      <c r="K43" s="221"/>
    </row>
    <row r="44" spans="1:18" ht="30" customHeight="1">
      <c r="A44" s="217"/>
      <c r="B44" s="721"/>
      <c r="C44" s="722"/>
      <c r="D44" s="223"/>
      <c r="E44" s="223"/>
      <c r="F44" s="223"/>
      <c r="G44" s="218" t="str">
        <f t="shared" si="6"/>
        <v xml:space="preserve"> </v>
      </c>
      <c r="H44" s="219" t="str">
        <f t="shared" si="7"/>
        <v xml:space="preserve"> </v>
      </c>
      <c r="I44" s="118"/>
      <c r="J44" s="220"/>
      <c r="K44" s="221"/>
    </row>
    <row r="45" spans="1:18" ht="30" customHeight="1" thickBot="1">
      <c r="A45" s="222"/>
      <c r="B45" s="723"/>
      <c r="C45" s="724"/>
      <c r="D45" s="114"/>
      <c r="E45" s="114"/>
      <c r="F45" s="114"/>
      <c r="G45" s="228" t="str">
        <f t="shared" si="6"/>
        <v xml:space="preserve"> </v>
      </c>
      <c r="H45" s="229" t="str">
        <f t="shared" si="7"/>
        <v xml:space="preserve"> </v>
      </c>
      <c r="I45" s="115"/>
      <c r="J45" s="230"/>
      <c r="K45" s="221"/>
    </row>
    <row r="46" spans="1:18" ht="30" customHeight="1" thickBot="1">
      <c r="A46" s="712" t="s">
        <v>57</v>
      </c>
      <c r="B46" s="713"/>
      <c r="C46" s="714"/>
      <c r="D46" s="246">
        <f t="shared" ref="D46:J46" si="8">SUM(D40:D45)</f>
        <v>0</v>
      </c>
      <c r="E46" s="246">
        <f t="shared" si="8"/>
        <v>0</v>
      </c>
      <c r="F46" s="79">
        <f t="shared" si="8"/>
        <v>0</v>
      </c>
      <c r="G46" s="79">
        <f t="shared" si="8"/>
        <v>0</v>
      </c>
      <c r="H46" s="79">
        <f t="shared" si="8"/>
        <v>0</v>
      </c>
      <c r="I46" s="79">
        <f t="shared" si="8"/>
        <v>0</v>
      </c>
      <c r="J46" s="238">
        <f t="shared" si="8"/>
        <v>0</v>
      </c>
      <c r="K46" s="221"/>
    </row>
    <row r="47" spans="1:18" s="200" customFormat="1" ht="45" customHeight="1" thickTop="1">
      <c r="A47" s="589" t="s">
        <v>21</v>
      </c>
      <c r="B47" s="589"/>
      <c r="C47" s="239">
        <f>'صفحه اصلی'!C10</f>
        <v>0</v>
      </c>
      <c r="D47" s="589" t="s">
        <v>8</v>
      </c>
      <c r="E47" s="589"/>
      <c r="F47" s="240">
        <f>'صفحه اصلی'!C11</f>
        <v>0</v>
      </c>
      <c r="G47" s="198" t="s">
        <v>9</v>
      </c>
      <c r="H47" s="240">
        <f>'صفحه اصلی'!C12</f>
        <v>0</v>
      </c>
      <c r="I47" s="199" t="s">
        <v>10</v>
      </c>
      <c r="J47" s="241">
        <f>'صفحه اصلی'!C13</f>
        <v>0</v>
      </c>
      <c r="L47" s="90"/>
      <c r="M47" s="90"/>
      <c r="N47" s="90"/>
      <c r="O47" s="90"/>
      <c r="P47" s="90"/>
      <c r="Q47" s="90"/>
      <c r="R47" s="90"/>
    </row>
    <row r="48" spans="1:18" s="200" customFormat="1" ht="30" customHeight="1" thickBot="1">
      <c r="A48" s="587" t="s">
        <v>19</v>
      </c>
      <c r="B48" s="587"/>
      <c r="C48" s="587"/>
      <c r="D48" s="587"/>
      <c r="E48" s="587"/>
      <c r="F48" s="587"/>
      <c r="G48" s="587"/>
      <c r="H48" s="587"/>
      <c r="I48" s="587"/>
      <c r="J48" s="201" t="s">
        <v>64</v>
      </c>
      <c r="L48" s="90"/>
      <c r="M48" s="90"/>
      <c r="N48" s="90"/>
      <c r="O48" s="90"/>
      <c r="P48" s="90"/>
      <c r="Q48" s="90"/>
      <c r="R48" s="90"/>
    </row>
    <row r="49" spans="1:21" ht="28.5" customHeight="1" thickTop="1" thickBot="1">
      <c r="A49" s="582" t="s">
        <v>398</v>
      </c>
      <c r="B49" s="583"/>
      <c r="C49" s="583"/>
      <c r="D49" s="583"/>
      <c r="E49" s="583"/>
      <c r="F49" s="583"/>
      <c r="G49" s="583"/>
      <c r="H49" s="583"/>
      <c r="I49" s="583"/>
      <c r="J49" s="584"/>
      <c r="K49" s="202"/>
    </row>
    <row r="50" spans="1:21" ht="28.5" customHeight="1" thickBot="1">
      <c r="A50" s="203" t="s">
        <v>11</v>
      </c>
      <c r="B50" s="729"/>
      <c r="C50" s="729"/>
      <c r="D50" s="729"/>
      <c r="E50" s="729"/>
      <c r="F50" s="729"/>
      <c r="G50" s="729"/>
      <c r="H50" s="729"/>
      <c r="I50" s="729"/>
      <c r="J50" s="730"/>
      <c r="K50" s="202"/>
      <c r="L50" s="204"/>
    </row>
    <row r="51" spans="1:21" s="231" customFormat="1" ht="21" thickTop="1">
      <c r="L51" s="232"/>
      <c r="M51" s="232"/>
      <c r="N51" s="232"/>
      <c r="O51" s="232"/>
      <c r="P51" s="232"/>
      <c r="Q51" s="232"/>
      <c r="R51" s="232"/>
    </row>
    <row r="52" spans="1:21" ht="30" customHeight="1">
      <c r="A52" s="646" t="s">
        <v>389</v>
      </c>
      <c r="B52" s="646"/>
      <c r="C52" s="646"/>
      <c r="D52" s="646"/>
      <c r="E52" s="646"/>
      <c r="F52" s="646"/>
      <c r="G52" s="646"/>
      <c r="H52" s="646"/>
      <c r="I52" s="646"/>
      <c r="J52" s="646"/>
      <c r="K52" s="60"/>
      <c r="L52" s="205"/>
      <c r="M52" s="205"/>
      <c r="N52" s="205"/>
    </row>
    <row r="53" spans="1:21" s="4" customFormat="1" ht="31.5" customHeight="1">
      <c r="A53" s="716" t="s">
        <v>558</v>
      </c>
      <c r="B53" s="716"/>
      <c r="C53" s="716"/>
      <c r="D53" s="716"/>
      <c r="E53" s="716"/>
      <c r="F53" s="716"/>
      <c r="G53" s="716"/>
      <c r="H53" s="716"/>
      <c r="I53" s="716"/>
      <c r="J53" s="716"/>
      <c r="K53" s="60"/>
      <c r="L53" s="92"/>
      <c r="M53" s="92"/>
      <c r="N53" s="92"/>
      <c r="O53" s="92"/>
      <c r="P53" s="92"/>
      <c r="Q53" s="92"/>
      <c r="R53" s="92"/>
    </row>
    <row r="54" spans="1:21" s="210" customFormat="1" ht="29.25" customHeight="1">
      <c r="A54" s="206" t="s">
        <v>0</v>
      </c>
      <c r="B54" s="207">
        <f>'صفحه اصلی'!C7</f>
        <v>0</v>
      </c>
      <c r="C54" s="207"/>
      <c r="D54" s="208"/>
      <c r="E54" s="208"/>
      <c r="F54" s="208"/>
      <c r="G54" s="207"/>
      <c r="H54" s="207"/>
      <c r="I54" s="207"/>
      <c r="J54" s="207"/>
      <c r="K54" s="209"/>
      <c r="L54" s="176"/>
      <c r="M54" s="176"/>
      <c r="N54" s="176"/>
      <c r="O54" s="176"/>
      <c r="P54" s="176"/>
      <c r="Q54" s="176"/>
      <c r="R54" s="176"/>
    </row>
    <row r="55" spans="1:21" s="67" customFormat="1" ht="29.25" customHeight="1" thickBot="1">
      <c r="A55" s="63" t="s">
        <v>1</v>
      </c>
      <c r="B55" s="64">
        <f>'صفحه اصلی'!C8</f>
        <v>0</v>
      </c>
      <c r="C55" s="64"/>
      <c r="D55" s="65"/>
      <c r="E55" s="65"/>
      <c r="F55" s="715" t="s">
        <v>65</v>
      </c>
      <c r="G55" s="715"/>
      <c r="H55" s="64">
        <f>'صفحه اصلی'!C9</f>
        <v>0</v>
      </c>
      <c r="I55" s="64"/>
      <c r="J55" s="63"/>
      <c r="K55" s="66"/>
      <c r="L55" s="93"/>
      <c r="M55" s="93"/>
      <c r="N55" s="93"/>
      <c r="O55" s="93"/>
      <c r="P55" s="93"/>
      <c r="Q55" s="93"/>
      <c r="R55" s="93"/>
    </row>
    <row r="56" spans="1:21" s="236" customFormat="1" ht="38.25" customHeight="1" thickTop="1" thickBot="1">
      <c r="A56" s="233" t="s">
        <v>56</v>
      </c>
      <c r="B56" s="725" t="s">
        <v>60</v>
      </c>
      <c r="C56" s="726"/>
      <c r="D56" s="213" t="s">
        <v>387</v>
      </c>
      <c r="E56" s="213" t="s">
        <v>388</v>
      </c>
      <c r="F56" s="213" t="s">
        <v>61</v>
      </c>
      <c r="G56" s="213" t="s">
        <v>386</v>
      </c>
      <c r="H56" s="213" t="s">
        <v>385</v>
      </c>
      <c r="I56" s="213" t="s">
        <v>62</v>
      </c>
      <c r="J56" s="214" t="s">
        <v>63</v>
      </c>
      <c r="K56" s="234"/>
      <c r="L56" s="235"/>
      <c r="M56" s="235"/>
      <c r="N56" s="235"/>
      <c r="O56" s="235"/>
      <c r="P56" s="235"/>
      <c r="Q56" s="235"/>
      <c r="R56" s="235"/>
    </row>
    <row r="57" spans="1:21" ht="30" customHeight="1">
      <c r="A57" s="217"/>
      <c r="B57" s="719"/>
      <c r="C57" s="720"/>
      <c r="D57" s="178"/>
      <c r="E57" s="178"/>
      <c r="F57" s="178"/>
      <c r="G57" s="278" t="str">
        <f t="shared" ref="G57:G62" si="9">IF(E57&gt;D57,E57-D57," ")</f>
        <v xml:space="preserve"> </v>
      </c>
      <c r="H57" s="242" t="str">
        <f t="shared" ref="H57:H62" si="10">IF(D57&gt;E57,D57-E57," ")</f>
        <v xml:space="preserve"> </v>
      </c>
      <c r="I57" s="118"/>
      <c r="J57" s="220"/>
      <c r="K57" s="221"/>
      <c r="L57" s="734" t="str">
        <f>IF(D63='رو کش تراز '!G162," ","مغایرت جمع ستون پیش بینی واگذاری دارایی های سرمایه ای با پیش بینی واگذاریی های سرمایه ای در روکش تراز ")</f>
        <v xml:space="preserve"> </v>
      </c>
      <c r="M57" s="734"/>
      <c r="N57" s="734"/>
      <c r="O57" s="734"/>
      <c r="P57" s="734"/>
      <c r="Q57" s="734"/>
      <c r="R57" s="734"/>
      <c r="S57" s="734"/>
      <c r="T57" s="734"/>
      <c r="U57" s="734"/>
    </row>
    <row r="58" spans="1:21" ht="30" customHeight="1">
      <c r="A58" s="222"/>
      <c r="B58" s="721"/>
      <c r="C58" s="722"/>
      <c r="D58" s="223"/>
      <c r="E58" s="223"/>
      <c r="F58" s="223"/>
      <c r="G58" s="278" t="str">
        <f t="shared" si="9"/>
        <v xml:space="preserve"> </v>
      </c>
      <c r="H58" s="242" t="str">
        <f t="shared" si="10"/>
        <v xml:space="preserve"> </v>
      </c>
      <c r="I58" s="224"/>
      <c r="J58" s="225"/>
      <c r="K58" s="221"/>
      <c r="L58" s="734" t="str">
        <f>IF(E63='رو کش تراز '!O166," ","مغایرت جمع ستون وصولی با واگذاری دارایی های سرمایه ای وصولی در روکش تراز")</f>
        <v xml:space="preserve"> </v>
      </c>
      <c r="M58" s="734"/>
      <c r="N58" s="734"/>
      <c r="O58" s="734"/>
      <c r="P58" s="734"/>
      <c r="Q58" s="734"/>
      <c r="R58" s="734"/>
      <c r="S58" s="734"/>
      <c r="T58" s="734"/>
      <c r="U58" s="734"/>
    </row>
    <row r="59" spans="1:21" ht="30" customHeight="1">
      <c r="A59" s="226"/>
      <c r="B59" s="721"/>
      <c r="C59" s="722"/>
      <c r="D59" s="178"/>
      <c r="E59" s="223"/>
      <c r="F59" s="223"/>
      <c r="G59" s="278" t="str">
        <f t="shared" si="9"/>
        <v xml:space="preserve"> </v>
      </c>
      <c r="H59" s="242" t="str">
        <f t="shared" si="10"/>
        <v xml:space="preserve"> </v>
      </c>
      <c r="I59" s="117"/>
      <c r="J59" s="227"/>
      <c r="K59" s="221"/>
      <c r="L59" s="735" t="str">
        <f>IF(F63='رو کش تراز '!C167," ","مغایرت جمع ستون واریزی به خزانه با خزانه وجوه تمرکز واگذاری دارایی های سرمایه ای در روکش تراز ")</f>
        <v xml:space="preserve"> </v>
      </c>
      <c r="M59" s="735"/>
      <c r="N59" s="735"/>
      <c r="O59" s="735"/>
      <c r="P59" s="735"/>
      <c r="Q59" s="735"/>
      <c r="R59" s="735"/>
      <c r="S59" s="735"/>
      <c r="T59" s="735"/>
      <c r="U59" s="735"/>
    </row>
    <row r="60" spans="1:21" ht="30" customHeight="1">
      <c r="A60" s="226"/>
      <c r="B60" s="721"/>
      <c r="C60" s="722"/>
      <c r="D60" s="237"/>
      <c r="E60" s="223"/>
      <c r="F60" s="178"/>
      <c r="G60" s="278" t="str">
        <f t="shared" si="9"/>
        <v xml:space="preserve"> </v>
      </c>
      <c r="H60" s="242" t="str">
        <f t="shared" si="10"/>
        <v xml:space="preserve"> </v>
      </c>
      <c r="I60" s="224"/>
      <c r="J60" s="225"/>
      <c r="K60" s="221"/>
    </row>
    <row r="61" spans="1:21" ht="30" customHeight="1">
      <c r="A61" s="217"/>
      <c r="B61" s="721"/>
      <c r="C61" s="722"/>
      <c r="D61" s="223"/>
      <c r="E61" s="223"/>
      <c r="F61" s="223"/>
      <c r="G61" s="278" t="str">
        <f t="shared" si="9"/>
        <v xml:space="preserve"> </v>
      </c>
      <c r="H61" s="242" t="str">
        <f t="shared" si="10"/>
        <v xml:space="preserve"> </v>
      </c>
      <c r="I61" s="118"/>
      <c r="J61" s="220"/>
      <c r="K61" s="221"/>
    </row>
    <row r="62" spans="1:21" ht="30" customHeight="1" thickBot="1">
      <c r="A62" s="222"/>
      <c r="B62" s="723"/>
      <c r="C62" s="724"/>
      <c r="D62" s="114"/>
      <c r="E62" s="114"/>
      <c r="F62" s="114"/>
      <c r="G62" s="279" t="str">
        <f t="shared" si="9"/>
        <v xml:space="preserve"> </v>
      </c>
      <c r="H62" s="245" t="str">
        <f t="shared" si="10"/>
        <v xml:space="preserve"> </v>
      </c>
      <c r="I62" s="115"/>
      <c r="J62" s="230"/>
      <c r="K62" s="221"/>
    </row>
    <row r="63" spans="1:21" ht="30" customHeight="1" thickBot="1">
      <c r="A63" s="712" t="s">
        <v>57</v>
      </c>
      <c r="B63" s="713"/>
      <c r="C63" s="714"/>
      <c r="D63" s="246">
        <f t="shared" ref="D63:J63" si="11">SUM(D57:D62)</f>
        <v>0</v>
      </c>
      <c r="E63" s="79">
        <f t="shared" si="11"/>
        <v>0</v>
      </c>
      <c r="F63" s="79">
        <f t="shared" si="11"/>
        <v>0</v>
      </c>
      <c r="G63" s="79">
        <f t="shared" si="11"/>
        <v>0</v>
      </c>
      <c r="H63" s="79">
        <f t="shared" si="11"/>
        <v>0</v>
      </c>
      <c r="I63" s="79">
        <f t="shared" si="11"/>
        <v>0</v>
      </c>
      <c r="J63" s="238">
        <f t="shared" si="11"/>
        <v>0</v>
      </c>
      <c r="K63" s="221"/>
    </row>
    <row r="64" spans="1:21" s="200" customFormat="1" ht="45" customHeight="1" thickTop="1">
      <c r="A64" s="589" t="s">
        <v>21</v>
      </c>
      <c r="B64" s="589"/>
      <c r="C64" s="239">
        <f>'صفحه اصلی'!C10</f>
        <v>0</v>
      </c>
      <c r="D64" s="589" t="s">
        <v>8</v>
      </c>
      <c r="E64" s="589"/>
      <c r="F64" s="240">
        <f>'صفحه اصلی'!C11</f>
        <v>0</v>
      </c>
      <c r="G64" s="198" t="s">
        <v>9</v>
      </c>
      <c r="H64" s="240">
        <f>'صفحه اصلی'!C12</f>
        <v>0</v>
      </c>
      <c r="I64" s="199" t="s">
        <v>10</v>
      </c>
      <c r="J64" s="241">
        <f>'صفحه اصلی'!C13</f>
        <v>0</v>
      </c>
      <c r="L64" s="90"/>
      <c r="M64" s="90"/>
      <c r="N64" s="90"/>
      <c r="O64" s="90"/>
      <c r="P64" s="90"/>
      <c r="Q64" s="90"/>
      <c r="R64" s="90"/>
    </row>
    <row r="65" spans="1:21" s="200" customFormat="1" ht="30" customHeight="1" thickBot="1">
      <c r="A65" s="587" t="s">
        <v>19</v>
      </c>
      <c r="B65" s="587"/>
      <c r="C65" s="587"/>
      <c r="D65" s="587"/>
      <c r="E65" s="587"/>
      <c r="F65" s="587"/>
      <c r="G65" s="587"/>
      <c r="H65" s="587"/>
      <c r="I65" s="587"/>
      <c r="J65" s="201" t="s">
        <v>64</v>
      </c>
      <c r="L65" s="90"/>
      <c r="M65" s="90"/>
      <c r="N65" s="90"/>
      <c r="O65" s="90"/>
      <c r="P65" s="90"/>
      <c r="Q65" s="90"/>
      <c r="R65" s="90"/>
    </row>
    <row r="66" spans="1:21" ht="28.5" customHeight="1" thickTop="1" thickBot="1">
      <c r="A66" s="582" t="s">
        <v>398</v>
      </c>
      <c r="B66" s="583"/>
      <c r="C66" s="583"/>
      <c r="D66" s="583"/>
      <c r="E66" s="583"/>
      <c r="F66" s="583"/>
      <c r="G66" s="583"/>
      <c r="H66" s="583"/>
      <c r="I66" s="583"/>
      <c r="J66" s="584"/>
      <c r="K66" s="202"/>
    </row>
    <row r="67" spans="1:21" ht="28.5" customHeight="1" thickBot="1">
      <c r="A67" s="203" t="s">
        <v>11</v>
      </c>
      <c r="B67" s="731"/>
      <c r="C67" s="731"/>
      <c r="D67" s="731"/>
      <c r="E67" s="731"/>
      <c r="F67" s="731"/>
      <c r="G67" s="731"/>
      <c r="H67" s="731"/>
      <c r="I67" s="731"/>
      <c r="J67" s="732"/>
      <c r="K67" s="202"/>
      <c r="L67" s="204"/>
    </row>
    <row r="68" spans="1:21" ht="30" customHeight="1" thickTop="1">
      <c r="A68" s="646" t="s">
        <v>389</v>
      </c>
      <c r="B68" s="646"/>
      <c r="C68" s="646"/>
      <c r="D68" s="646"/>
      <c r="E68" s="646"/>
      <c r="F68" s="646"/>
      <c r="G68" s="646"/>
      <c r="H68" s="646"/>
      <c r="I68" s="646"/>
      <c r="J68" s="646"/>
      <c r="K68" s="60"/>
      <c r="L68" s="205"/>
      <c r="M68" s="205"/>
      <c r="N68" s="205"/>
    </row>
    <row r="69" spans="1:21" s="4" customFormat="1" ht="31.5" customHeight="1">
      <c r="A69" s="716" t="s">
        <v>559</v>
      </c>
      <c r="B69" s="716"/>
      <c r="C69" s="716"/>
      <c r="D69" s="716"/>
      <c r="E69" s="716"/>
      <c r="F69" s="716"/>
      <c r="G69" s="716"/>
      <c r="H69" s="716"/>
      <c r="I69" s="716"/>
      <c r="J69" s="716"/>
      <c r="K69" s="60"/>
      <c r="L69" s="92"/>
      <c r="M69" s="92"/>
      <c r="N69" s="92"/>
      <c r="O69" s="92"/>
      <c r="P69" s="92"/>
      <c r="Q69" s="92"/>
      <c r="R69" s="92"/>
    </row>
    <row r="70" spans="1:21" s="210" customFormat="1" ht="29.25" customHeight="1">
      <c r="A70" s="206" t="s">
        <v>0</v>
      </c>
      <c r="B70" s="207">
        <f>'صفحه اصلی'!C7</f>
        <v>0</v>
      </c>
      <c r="C70" s="207"/>
      <c r="D70" s="208"/>
      <c r="E70" s="208"/>
      <c r="F70" s="208"/>
      <c r="G70" s="207"/>
      <c r="H70" s="207"/>
      <c r="I70" s="207"/>
      <c r="J70" s="207"/>
      <c r="K70" s="209"/>
      <c r="L70" s="176"/>
      <c r="M70" s="176"/>
      <c r="N70" s="176"/>
      <c r="O70" s="176"/>
      <c r="P70" s="176"/>
      <c r="Q70" s="176"/>
      <c r="R70" s="176"/>
    </row>
    <row r="71" spans="1:21" s="67" customFormat="1" ht="29.25" customHeight="1" thickBot="1">
      <c r="A71" s="63" t="s">
        <v>1</v>
      </c>
      <c r="B71" s="64">
        <f>'صفحه اصلی'!C8</f>
        <v>0</v>
      </c>
      <c r="C71" s="64"/>
      <c r="D71" s="65"/>
      <c r="E71" s="65"/>
      <c r="F71" s="715" t="s">
        <v>65</v>
      </c>
      <c r="G71" s="715"/>
      <c r="H71" s="64">
        <f>'صفحه اصلی'!C9</f>
        <v>0</v>
      </c>
      <c r="I71" s="64"/>
      <c r="J71" s="63"/>
      <c r="K71" s="66"/>
      <c r="L71" s="93"/>
      <c r="M71" s="93"/>
      <c r="N71" s="93"/>
      <c r="O71" s="93"/>
      <c r="P71" s="93"/>
      <c r="Q71" s="93"/>
      <c r="R71" s="93"/>
    </row>
    <row r="72" spans="1:21" s="236" customFormat="1" ht="38.25" customHeight="1" thickTop="1" thickBot="1">
      <c r="A72" s="233" t="s">
        <v>56</v>
      </c>
      <c r="B72" s="725" t="s">
        <v>60</v>
      </c>
      <c r="C72" s="726"/>
      <c r="D72" s="213" t="s">
        <v>387</v>
      </c>
      <c r="E72" s="213" t="s">
        <v>388</v>
      </c>
      <c r="F72" s="213" t="s">
        <v>61</v>
      </c>
      <c r="G72" s="213" t="s">
        <v>386</v>
      </c>
      <c r="H72" s="213" t="s">
        <v>385</v>
      </c>
      <c r="I72" s="213" t="s">
        <v>62</v>
      </c>
      <c r="J72" s="214" t="s">
        <v>63</v>
      </c>
      <c r="K72" s="234"/>
      <c r="L72" s="235"/>
      <c r="M72" s="235"/>
      <c r="N72" s="235"/>
      <c r="O72" s="235"/>
      <c r="P72" s="235"/>
      <c r="Q72" s="235"/>
      <c r="R72" s="235"/>
    </row>
    <row r="73" spans="1:21" ht="30" customHeight="1">
      <c r="A73" s="251"/>
      <c r="B73" s="719"/>
      <c r="C73" s="720"/>
      <c r="D73" s="178"/>
      <c r="E73" s="178"/>
      <c r="F73" s="178"/>
      <c r="G73" s="247"/>
      <c r="H73" s="248" t="str">
        <f t="shared" ref="H73:H78" si="12">IF(D73&gt;E73,D73-E73," ")</f>
        <v xml:space="preserve"> </v>
      </c>
      <c r="I73" s="118"/>
      <c r="J73" s="220"/>
      <c r="K73" s="221"/>
      <c r="L73" s="590"/>
      <c r="M73" s="590"/>
      <c r="N73" s="590"/>
      <c r="O73" s="590"/>
      <c r="P73" s="590"/>
      <c r="Q73" s="590"/>
      <c r="R73" s="590"/>
      <c r="S73" s="590"/>
      <c r="T73" s="590"/>
      <c r="U73" s="590"/>
    </row>
    <row r="74" spans="1:21" ht="30" customHeight="1">
      <c r="A74" s="252"/>
      <c r="B74" s="721"/>
      <c r="C74" s="722"/>
      <c r="D74" s="223"/>
      <c r="E74" s="223"/>
      <c r="F74" s="223"/>
      <c r="G74" s="247"/>
      <c r="H74" s="248" t="str">
        <f t="shared" si="12"/>
        <v xml:space="preserve"> </v>
      </c>
      <c r="I74" s="224"/>
      <c r="J74" s="225"/>
      <c r="K74" s="221"/>
      <c r="L74" s="590"/>
      <c r="M74" s="590"/>
      <c r="N74" s="590"/>
      <c r="O74" s="590"/>
      <c r="P74" s="590"/>
      <c r="Q74" s="590"/>
      <c r="R74" s="590"/>
      <c r="S74" s="590"/>
      <c r="T74" s="590"/>
      <c r="U74" s="590"/>
    </row>
    <row r="75" spans="1:21" ht="30" customHeight="1">
      <c r="A75" s="253"/>
      <c r="B75" s="721"/>
      <c r="C75" s="722"/>
      <c r="D75" s="178"/>
      <c r="E75" s="223"/>
      <c r="F75" s="223"/>
      <c r="G75" s="247" t="str">
        <f t="shared" ref="G75:G78" si="13">IF(E75&gt;D75,E75-D75," ")</f>
        <v xml:space="preserve"> </v>
      </c>
      <c r="H75" s="248" t="str">
        <f t="shared" si="12"/>
        <v xml:space="preserve"> </v>
      </c>
      <c r="I75" s="117"/>
      <c r="J75" s="227"/>
      <c r="K75" s="221"/>
      <c r="L75" s="735"/>
      <c r="M75" s="735"/>
      <c r="N75" s="735"/>
      <c r="O75" s="735"/>
      <c r="P75" s="735"/>
      <c r="Q75" s="735"/>
      <c r="R75" s="735"/>
      <c r="S75" s="735"/>
      <c r="T75" s="735"/>
      <c r="U75" s="735"/>
    </row>
    <row r="76" spans="1:21" ht="30" customHeight="1">
      <c r="A76" s="253"/>
      <c r="B76" s="721"/>
      <c r="C76" s="722"/>
      <c r="D76" s="237"/>
      <c r="E76" s="223"/>
      <c r="F76" s="178"/>
      <c r="G76" s="247" t="str">
        <f t="shared" si="13"/>
        <v xml:space="preserve"> </v>
      </c>
      <c r="H76" s="248" t="str">
        <f t="shared" si="12"/>
        <v xml:space="preserve"> </v>
      </c>
      <c r="I76" s="224"/>
      <c r="J76" s="225"/>
      <c r="K76" s="221"/>
    </row>
    <row r="77" spans="1:21" ht="30" customHeight="1">
      <c r="A77" s="251"/>
      <c r="B77" s="721"/>
      <c r="C77" s="722"/>
      <c r="D77" s="223"/>
      <c r="E77" s="223"/>
      <c r="F77" s="223"/>
      <c r="G77" s="247" t="str">
        <f t="shared" si="13"/>
        <v xml:space="preserve"> </v>
      </c>
      <c r="H77" s="248" t="str">
        <f t="shared" si="12"/>
        <v xml:space="preserve"> </v>
      </c>
      <c r="I77" s="118"/>
      <c r="J77" s="220"/>
      <c r="K77" s="221"/>
    </row>
    <row r="78" spans="1:21" ht="30" customHeight="1" thickBot="1">
      <c r="A78" s="252"/>
      <c r="B78" s="723"/>
      <c r="C78" s="724"/>
      <c r="D78" s="114"/>
      <c r="E78" s="114"/>
      <c r="F78" s="114"/>
      <c r="G78" s="249" t="str">
        <f t="shared" si="13"/>
        <v xml:space="preserve"> </v>
      </c>
      <c r="H78" s="250" t="str">
        <f t="shared" si="12"/>
        <v xml:space="preserve"> </v>
      </c>
      <c r="I78" s="115"/>
      <c r="J78" s="230"/>
      <c r="K78" s="221"/>
    </row>
    <row r="79" spans="1:21" ht="30" customHeight="1" thickBot="1">
      <c r="A79" s="712" t="s">
        <v>57</v>
      </c>
      <c r="B79" s="713"/>
      <c r="C79" s="714"/>
      <c r="D79" s="79">
        <f t="shared" ref="D79:J79" si="14">SUM(D73:D78)</f>
        <v>0</v>
      </c>
      <c r="E79" s="79">
        <f t="shared" si="14"/>
        <v>0</v>
      </c>
      <c r="F79" s="79">
        <f t="shared" si="14"/>
        <v>0</v>
      </c>
      <c r="G79" s="79">
        <f t="shared" si="14"/>
        <v>0</v>
      </c>
      <c r="H79" s="79">
        <f t="shared" si="14"/>
        <v>0</v>
      </c>
      <c r="I79" s="79">
        <f t="shared" si="14"/>
        <v>0</v>
      </c>
      <c r="J79" s="238">
        <f t="shared" si="14"/>
        <v>0</v>
      </c>
      <c r="K79" s="221"/>
    </row>
    <row r="80" spans="1:21" s="200" customFormat="1" ht="45" customHeight="1" thickTop="1">
      <c r="A80" s="589" t="s">
        <v>21</v>
      </c>
      <c r="B80" s="589"/>
      <c r="C80" s="239">
        <f>'صفحه اصلی'!C10</f>
        <v>0</v>
      </c>
      <c r="D80" s="589" t="s">
        <v>8</v>
      </c>
      <c r="E80" s="589"/>
      <c r="F80" s="240">
        <f>'صفحه اصلی'!C11</f>
        <v>0</v>
      </c>
      <c r="G80" s="198" t="s">
        <v>9</v>
      </c>
      <c r="H80" s="240">
        <f>'صفحه اصلی'!C12</f>
        <v>0</v>
      </c>
      <c r="I80" s="199" t="s">
        <v>10</v>
      </c>
      <c r="J80" s="241">
        <f>'صفحه اصلی'!C13</f>
        <v>0</v>
      </c>
      <c r="L80" s="90"/>
      <c r="M80" s="90"/>
      <c r="N80" s="90"/>
      <c r="O80" s="90"/>
      <c r="P80" s="90"/>
      <c r="Q80" s="90"/>
      <c r="R80" s="90"/>
    </row>
    <row r="81" spans="1:18" s="200" customFormat="1" ht="30" customHeight="1" thickBot="1">
      <c r="A81" s="587" t="s">
        <v>19</v>
      </c>
      <c r="B81" s="587"/>
      <c r="C81" s="587"/>
      <c r="D81" s="587"/>
      <c r="E81" s="587"/>
      <c r="F81" s="587"/>
      <c r="G81" s="587"/>
      <c r="H81" s="587"/>
      <c r="I81" s="587"/>
      <c r="J81" s="201" t="s">
        <v>64</v>
      </c>
      <c r="L81" s="90"/>
      <c r="M81" s="90"/>
      <c r="N81" s="90"/>
      <c r="O81" s="90"/>
      <c r="P81" s="90"/>
      <c r="Q81" s="90"/>
      <c r="R81" s="90"/>
    </row>
    <row r="82" spans="1:18" ht="28.5" customHeight="1" thickTop="1" thickBot="1">
      <c r="A82" s="582" t="s">
        <v>398</v>
      </c>
      <c r="B82" s="583"/>
      <c r="C82" s="583"/>
      <c r="D82" s="583"/>
      <c r="E82" s="583"/>
      <c r="F82" s="583"/>
      <c r="G82" s="583"/>
      <c r="H82" s="583"/>
      <c r="I82" s="583"/>
      <c r="J82" s="584"/>
      <c r="K82" s="202"/>
    </row>
    <row r="83" spans="1:18" ht="28.5" customHeight="1" thickBot="1">
      <c r="A83" s="203" t="s">
        <v>11</v>
      </c>
      <c r="B83" s="731"/>
      <c r="C83" s="731"/>
      <c r="D83" s="731"/>
      <c r="E83" s="731"/>
      <c r="F83" s="731"/>
      <c r="G83" s="731"/>
      <c r="H83" s="731"/>
      <c r="I83" s="731"/>
      <c r="J83" s="732"/>
      <c r="K83" s="202"/>
      <c r="L83" s="204"/>
    </row>
    <row r="84" spans="1:18" ht="21" thickTop="1"/>
  </sheetData>
  <sheetProtection formatCells="0" formatColumns="0" formatRows="0" insertColumns="0" insertRows="0" insertHyperlinks="0" deleteColumns="0" deleteRows="0" sort="0" autoFilter="0" pivotTables="0"/>
  <mergeCells count="100">
    <mergeCell ref="D80:E80"/>
    <mergeCell ref="A81:I81"/>
    <mergeCell ref="A82:J82"/>
    <mergeCell ref="B83:J83"/>
    <mergeCell ref="B76:C76"/>
    <mergeCell ref="B77:C77"/>
    <mergeCell ref="B78:C78"/>
    <mergeCell ref="A79:C79"/>
    <mergeCell ref="A80:B80"/>
    <mergeCell ref="L73:U73"/>
    <mergeCell ref="B74:C74"/>
    <mergeCell ref="L74:U74"/>
    <mergeCell ref="B75:C75"/>
    <mergeCell ref="L75:U75"/>
    <mergeCell ref="A68:J68"/>
    <mergeCell ref="A69:J69"/>
    <mergeCell ref="F71:G71"/>
    <mergeCell ref="B72:C72"/>
    <mergeCell ref="B73:C73"/>
    <mergeCell ref="L57:U57"/>
    <mergeCell ref="L58:U58"/>
    <mergeCell ref="L59:U59"/>
    <mergeCell ref="L24:T24"/>
    <mergeCell ref="L23:T23"/>
    <mergeCell ref="L25:T25"/>
    <mergeCell ref="L27:Q27"/>
    <mergeCell ref="L28:Q28"/>
    <mergeCell ref="L29:Q29"/>
    <mergeCell ref="L40:R40"/>
    <mergeCell ref="L6:T6"/>
    <mergeCell ref="L11:Q11"/>
    <mergeCell ref="L12:Q12"/>
    <mergeCell ref="L7:Q7"/>
    <mergeCell ref="L9:Q9"/>
    <mergeCell ref="L10:Q10"/>
    <mergeCell ref="L8:T8"/>
    <mergeCell ref="A66:J66"/>
    <mergeCell ref="B67:J67"/>
    <mergeCell ref="B62:C62"/>
    <mergeCell ref="A63:C63"/>
    <mergeCell ref="A64:B64"/>
    <mergeCell ref="D64:E64"/>
    <mergeCell ref="A65:I65"/>
    <mergeCell ref="B57:C57"/>
    <mergeCell ref="B58:C58"/>
    <mergeCell ref="B59:C59"/>
    <mergeCell ref="B60:C60"/>
    <mergeCell ref="B61:C61"/>
    <mergeCell ref="B50:J50"/>
    <mergeCell ref="A52:J52"/>
    <mergeCell ref="A53:J53"/>
    <mergeCell ref="F55:G55"/>
    <mergeCell ref="B56:C56"/>
    <mergeCell ref="A46:C46"/>
    <mergeCell ref="A47:B47"/>
    <mergeCell ref="D47:E47"/>
    <mergeCell ref="A48:I48"/>
    <mergeCell ref="A49:J49"/>
    <mergeCell ref="B41:C41"/>
    <mergeCell ref="B42:C42"/>
    <mergeCell ref="B43:C43"/>
    <mergeCell ref="B44:C44"/>
    <mergeCell ref="B45:C45"/>
    <mergeCell ref="A35:J35"/>
    <mergeCell ref="A36:J36"/>
    <mergeCell ref="F38:G38"/>
    <mergeCell ref="B39:C39"/>
    <mergeCell ref="B40:C40"/>
    <mergeCell ref="A30:B30"/>
    <mergeCell ref="D30:E30"/>
    <mergeCell ref="A31:I31"/>
    <mergeCell ref="A32:J32"/>
    <mergeCell ref="B33:J33"/>
    <mergeCell ref="A13:B13"/>
    <mergeCell ref="D13:E13"/>
    <mergeCell ref="F21:G21"/>
    <mergeCell ref="B22:C22"/>
    <mergeCell ref="A29:C29"/>
    <mergeCell ref="B23:C23"/>
    <mergeCell ref="B24:C24"/>
    <mergeCell ref="B25:C25"/>
    <mergeCell ref="B26:C26"/>
    <mergeCell ref="B27:C27"/>
    <mergeCell ref="B28:C28"/>
    <mergeCell ref="A18:J18"/>
    <mergeCell ref="A19:J19"/>
    <mergeCell ref="B16:J16"/>
    <mergeCell ref="A14:I14"/>
    <mergeCell ref="A15:J15"/>
    <mergeCell ref="A1:J1"/>
    <mergeCell ref="A12:C12"/>
    <mergeCell ref="F4:G4"/>
    <mergeCell ref="A2:J2"/>
    <mergeCell ref="B5:C5"/>
    <mergeCell ref="B6:C6"/>
    <mergeCell ref="B7:C7"/>
    <mergeCell ref="B8:C8"/>
    <mergeCell ref="B9:C9"/>
    <mergeCell ref="B10:C10"/>
    <mergeCell ref="B11:C11"/>
  </mergeCells>
  <pageMargins left="0.25" right="0.5" top="0.47" bottom="0.59" header="0.3" footer="0.3"/>
  <pageSetup paperSize="9" scale="92" orientation="landscape" r:id="rId1"/>
  <rowBreaks count="4" manualBreakCount="4">
    <brk id="17" max="9" man="1"/>
    <brk id="33" max="9" man="1"/>
    <brk id="50" max="9" man="1"/>
    <brk id="67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26AC1"/>
  </sheetPr>
  <dimension ref="A1:Q19"/>
  <sheetViews>
    <sheetView showGridLines="0" rightToLeft="1" view="pageBreakPreview" zoomScale="80" zoomScaleSheetLayoutView="80" workbookViewId="0">
      <selection activeCell="B7" sqref="B7:C7"/>
    </sheetView>
  </sheetViews>
  <sheetFormatPr defaultRowHeight="20.25"/>
  <cols>
    <col min="1" max="1" width="15.5" style="167" customWidth="1"/>
    <col min="2" max="2" width="11.125" style="167" customWidth="1"/>
    <col min="3" max="3" width="7.75" style="167" customWidth="1"/>
    <col min="4" max="4" width="18.625" style="167" customWidth="1"/>
    <col min="5" max="5" width="16.5" style="167" customWidth="1"/>
    <col min="6" max="6" width="17" style="167" customWidth="1"/>
    <col min="7" max="7" width="17.75" style="167" customWidth="1"/>
    <col min="8" max="8" width="18.125" style="167" customWidth="1"/>
    <col min="9" max="9" width="19.125" style="167" customWidth="1"/>
    <col min="10" max="10" width="5.25" style="167" customWidth="1"/>
    <col min="11" max="16384" width="9" style="167"/>
  </cols>
  <sheetData>
    <row r="1" spans="1:17" s="361" customFormat="1" ht="33.75" customHeight="1">
      <c r="B1" s="415"/>
      <c r="C1" s="415"/>
      <c r="E1" s="739" t="s">
        <v>66</v>
      </c>
      <c r="F1" s="739"/>
      <c r="G1" s="416">
        <f>'صفحه اصلی'!C9</f>
        <v>0</v>
      </c>
      <c r="H1" s="415"/>
      <c r="I1" s="415"/>
      <c r="J1" s="68"/>
      <c r="K1" s="68"/>
      <c r="L1" s="68"/>
      <c r="M1" s="417"/>
    </row>
    <row r="2" spans="1:17" s="361" customFormat="1" ht="28.5" customHeight="1">
      <c r="A2" s="740" t="s">
        <v>548</v>
      </c>
      <c r="B2" s="740"/>
      <c r="C2" s="740"/>
      <c r="D2" s="740"/>
      <c r="E2" s="740"/>
      <c r="F2" s="740"/>
      <c r="G2" s="740"/>
      <c r="H2" s="740"/>
      <c r="I2" s="740"/>
      <c r="J2" s="417"/>
    </row>
    <row r="3" spans="1:17" s="397" customFormat="1" ht="27" customHeight="1">
      <c r="A3" s="300" t="s">
        <v>0</v>
      </c>
      <c r="B3" s="752">
        <f>'صفحه اصلی'!C7</f>
        <v>0</v>
      </c>
      <c r="C3" s="752"/>
      <c r="D3" s="418"/>
      <c r="E3" s="418"/>
      <c r="F3" s="419"/>
      <c r="G3" s="419"/>
      <c r="H3" s="419"/>
      <c r="I3" s="419"/>
      <c r="J3" s="420"/>
    </row>
    <row r="4" spans="1:17" s="363" customFormat="1" ht="27" customHeight="1" thickBot="1">
      <c r="A4" s="364" t="s">
        <v>1</v>
      </c>
      <c r="B4" s="753">
        <f>'صفحه اصلی'!C8</f>
        <v>0</v>
      </c>
      <c r="C4" s="753"/>
      <c r="D4" s="366"/>
      <c r="E4" s="421"/>
      <c r="F4" s="421"/>
      <c r="G4" s="365"/>
      <c r="H4" s="365"/>
      <c r="I4" s="364"/>
      <c r="J4" s="422"/>
    </row>
    <row r="5" spans="1:17" s="236" customFormat="1" ht="45" customHeight="1" thickTop="1" thickBot="1">
      <c r="A5" s="258" t="s">
        <v>60</v>
      </c>
      <c r="B5" s="582" t="s">
        <v>67</v>
      </c>
      <c r="C5" s="726"/>
      <c r="D5" s="213" t="s">
        <v>34</v>
      </c>
      <c r="E5" s="213" t="s">
        <v>68</v>
      </c>
      <c r="F5" s="213" t="s">
        <v>69</v>
      </c>
      <c r="G5" s="213" t="s">
        <v>61</v>
      </c>
      <c r="H5" s="213" t="s">
        <v>70</v>
      </c>
      <c r="I5" s="214" t="s">
        <v>71</v>
      </c>
      <c r="J5" s="259"/>
    </row>
    <row r="6" spans="1:17" ht="27" customHeight="1" thickBot="1">
      <c r="A6" s="260" t="s">
        <v>72</v>
      </c>
      <c r="B6" s="746"/>
      <c r="C6" s="747"/>
      <c r="D6" s="747"/>
      <c r="E6" s="747"/>
      <c r="F6" s="747"/>
      <c r="G6" s="747"/>
      <c r="H6" s="747"/>
      <c r="I6" s="748"/>
      <c r="J6" s="261"/>
    </row>
    <row r="7" spans="1:17" ht="27" customHeight="1">
      <c r="A7" s="262" t="s">
        <v>35</v>
      </c>
      <c r="B7" s="754">
        <f>'رو کش تراز '!C92</f>
        <v>0</v>
      </c>
      <c r="C7" s="755"/>
      <c r="D7" s="112"/>
      <c r="E7" s="112"/>
      <c r="F7" s="113"/>
      <c r="G7" s="112"/>
      <c r="H7" s="113"/>
      <c r="I7" s="69">
        <f>B7-D7-E7-F7-G7-H7</f>
        <v>0</v>
      </c>
      <c r="J7" s="261"/>
      <c r="K7" s="734" t="str">
        <f>IF(I7='رو کش تراز '!K92," ","مغایرت مانده پیش پرداخت سنواتی با مانده پیش پرداخت سنواتی در روکش تراز")</f>
        <v xml:space="preserve"> </v>
      </c>
      <c r="L7" s="734"/>
      <c r="M7" s="734"/>
      <c r="N7" s="734"/>
      <c r="O7" s="734"/>
      <c r="P7" s="734"/>
      <c r="Q7" s="734"/>
    </row>
    <row r="8" spans="1:17" ht="27" customHeight="1" thickBot="1">
      <c r="A8" s="263" t="s">
        <v>2</v>
      </c>
      <c r="B8" s="744">
        <f>'رو کش تراز '!C93</f>
        <v>0</v>
      </c>
      <c r="C8" s="756"/>
      <c r="D8" s="114"/>
      <c r="E8" s="114"/>
      <c r="F8" s="115"/>
      <c r="G8" s="114"/>
      <c r="H8" s="115"/>
      <c r="I8" s="70">
        <f>B8-D8-E8-F8-G8-H8</f>
        <v>0</v>
      </c>
      <c r="J8" s="261"/>
      <c r="K8" s="734" t="str">
        <f>IF(I8='رو کش تراز '!K93," ","مغایرت مانده پیش پرداخت سنواتی با مانده پیش پرداخت سنواتی در روکش تراز")</f>
        <v xml:space="preserve"> </v>
      </c>
      <c r="L8" s="734"/>
      <c r="M8" s="734"/>
      <c r="N8" s="734"/>
      <c r="O8" s="734"/>
      <c r="P8" s="734"/>
      <c r="Q8" s="734"/>
    </row>
    <row r="9" spans="1:17" ht="27" customHeight="1" thickBot="1">
      <c r="A9" s="264" t="s">
        <v>7</v>
      </c>
      <c r="B9" s="746">
        <f>SUM(B7:B8)</f>
        <v>0</v>
      </c>
      <c r="C9" s="757"/>
      <c r="D9" s="71">
        <f>SUM(D7:D8)</f>
        <v>0</v>
      </c>
      <c r="E9" s="71">
        <f>SUM(E7:E8)</f>
        <v>0</v>
      </c>
      <c r="F9" s="71">
        <f>SUM(F7:F8)</f>
        <v>0</v>
      </c>
      <c r="G9" s="71">
        <f>SUM(G7:G8)</f>
        <v>0</v>
      </c>
      <c r="H9" s="71">
        <f>SUM(H7:H8)</f>
        <v>0</v>
      </c>
      <c r="I9" s="72">
        <f>B9-D9-E9-F9-G9-H9</f>
        <v>0</v>
      </c>
      <c r="J9" s="261"/>
      <c r="K9" s="734"/>
      <c r="L9" s="734"/>
      <c r="M9" s="734"/>
      <c r="N9" s="734"/>
      <c r="O9" s="734"/>
      <c r="P9" s="734"/>
      <c r="Q9" s="734"/>
    </row>
    <row r="10" spans="1:17" ht="27" customHeight="1" thickBot="1">
      <c r="A10" s="260" t="s">
        <v>73</v>
      </c>
      <c r="B10" s="749"/>
      <c r="C10" s="750"/>
      <c r="D10" s="750"/>
      <c r="E10" s="750"/>
      <c r="F10" s="750"/>
      <c r="G10" s="750"/>
      <c r="H10" s="750"/>
      <c r="I10" s="751"/>
      <c r="J10" s="261"/>
      <c r="K10" s="734"/>
      <c r="L10" s="734"/>
      <c r="M10" s="734"/>
      <c r="N10" s="734"/>
      <c r="O10" s="734"/>
      <c r="P10" s="734"/>
      <c r="Q10" s="734"/>
    </row>
    <row r="11" spans="1:17" ht="27" customHeight="1">
      <c r="A11" s="262" t="s">
        <v>35</v>
      </c>
      <c r="B11" s="742">
        <f>'رو کش تراز '!C202+'رو کش تراز '!C228</f>
        <v>0</v>
      </c>
      <c r="C11" s="743"/>
      <c r="D11" s="112"/>
      <c r="E11" s="116"/>
      <c r="F11" s="117"/>
      <c r="G11" s="117"/>
      <c r="H11" s="118"/>
      <c r="I11" s="72">
        <f>B11-D11-E11-F11-G11-H11</f>
        <v>0</v>
      </c>
      <c r="J11" s="261"/>
      <c r="K11" s="758" t="str">
        <f>IF(I11='رو کش تراز '!K202+'رو کش تراز '!K228," ","مغایرت مانده پیش پرداخت سنواتی اختصاصی با مانده روکش تراز")</f>
        <v xml:space="preserve"> </v>
      </c>
      <c r="L11" s="758"/>
      <c r="M11" s="758"/>
      <c r="N11" s="758"/>
      <c r="O11" s="758"/>
      <c r="P11" s="758"/>
      <c r="Q11" s="758"/>
    </row>
    <row r="12" spans="1:17" ht="27" customHeight="1" thickBot="1">
      <c r="A12" s="263" t="s">
        <v>2</v>
      </c>
      <c r="B12" s="744">
        <f>'رو کش تراز '!C204+'رو کش تراز '!C230</f>
        <v>0</v>
      </c>
      <c r="C12" s="745"/>
      <c r="D12" s="114"/>
      <c r="E12" s="114"/>
      <c r="F12" s="115"/>
      <c r="G12" s="115"/>
      <c r="H12" s="115"/>
      <c r="I12" s="69">
        <f>B12-D12-E12-F12-G12-H12</f>
        <v>0</v>
      </c>
      <c r="J12" s="261"/>
      <c r="K12" s="758" t="str">
        <f>IF(I12='رو کش تراز '!K204+'رو کش تراز '!K230," ","مغایرت مانده پیش پرداخت سنواتی اختصاصی با مانده روکش تراز")</f>
        <v xml:space="preserve"> </v>
      </c>
      <c r="L12" s="758"/>
      <c r="M12" s="758"/>
      <c r="N12" s="758"/>
      <c r="O12" s="758"/>
      <c r="P12" s="758"/>
      <c r="Q12" s="758"/>
    </row>
    <row r="13" spans="1:17" ht="27" customHeight="1" thickBot="1">
      <c r="A13" s="265" t="s">
        <v>7</v>
      </c>
      <c r="B13" s="741">
        <f>SUM(B11:B12)</f>
        <v>0</v>
      </c>
      <c r="C13" s="696"/>
      <c r="D13" s="73">
        <f>SUM(D11:D12)</f>
        <v>0</v>
      </c>
      <c r="E13" s="74">
        <f>SUM(E11:E12)</f>
        <v>0</v>
      </c>
      <c r="F13" s="74">
        <f>SUM(F11:F12)</f>
        <v>0</v>
      </c>
      <c r="G13" s="74">
        <f>SUM(G11:G12)</f>
        <v>0</v>
      </c>
      <c r="H13" s="74">
        <f>SUM(H11:H12)</f>
        <v>0</v>
      </c>
      <c r="I13" s="75">
        <f>B13-D13-E13-F13-G13-H13</f>
        <v>0</v>
      </c>
      <c r="J13" s="261"/>
      <c r="K13" s="734"/>
      <c r="L13" s="734"/>
      <c r="M13" s="734"/>
      <c r="N13" s="734"/>
      <c r="O13" s="734"/>
      <c r="P13" s="734"/>
      <c r="Q13" s="734"/>
    </row>
    <row r="14" spans="1:17" s="369" customFormat="1" ht="38.25" customHeight="1" thickTop="1">
      <c r="A14" s="389" t="s">
        <v>21</v>
      </c>
      <c r="B14" s="388">
        <f>'صفحه اصلی'!C10</f>
        <v>0</v>
      </c>
      <c r="C14" s="630" t="s">
        <v>8</v>
      </c>
      <c r="D14" s="630"/>
      <c r="E14" s="388">
        <f>'صفحه اصلی'!C11</f>
        <v>0</v>
      </c>
      <c r="F14" s="389" t="s">
        <v>9</v>
      </c>
      <c r="G14" s="388">
        <f>'صفحه اصلی'!C12</f>
        <v>0</v>
      </c>
      <c r="H14" s="423" t="s">
        <v>10</v>
      </c>
      <c r="I14" s="390">
        <f>'صفحه اصلی'!C13</f>
        <v>0</v>
      </c>
    </row>
    <row r="15" spans="1:17" s="4" customFormat="1" ht="27.75" customHeight="1" thickBot="1">
      <c r="A15" s="587" t="s">
        <v>19</v>
      </c>
      <c r="B15" s="587"/>
      <c r="C15" s="587"/>
      <c r="D15" s="587"/>
      <c r="E15" s="587"/>
      <c r="F15" s="587"/>
      <c r="G15" s="587"/>
      <c r="H15" s="587"/>
      <c r="I15" s="266" t="s">
        <v>74</v>
      </c>
    </row>
    <row r="16" spans="1:17" ht="27" customHeight="1" thickTop="1" thickBot="1">
      <c r="A16" s="582" t="s">
        <v>397</v>
      </c>
      <c r="B16" s="583"/>
      <c r="C16" s="583"/>
      <c r="D16" s="583"/>
      <c r="E16" s="583"/>
      <c r="F16" s="583"/>
      <c r="G16" s="583"/>
      <c r="H16" s="583"/>
      <c r="I16" s="584"/>
      <c r="J16" s="202"/>
    </row>
    <row r="17" spans="1:11" ht="27" customHeight="1" thickBot="1">
      <c r="A17" s="203" t="s">
        <v>11</v>
      </c>
      <c r="B17" s="737"/>
      <c r="C17" s="737"/>
      <c r="D17" s="737"/>
      <c r="E17" s="737"/>
      <c r="F17" s="737"/>
      <c r="G17" s="737"/>
      <c r="H17" s="737"/>
      <c r="I17" s="738"/>
      <c r="J17" s="202"/>
      <c r="K17" s="267"/>
    </row>
    <row r="18" spans="1:11" s="200" customFormat="1" ht="28.5" customHeight="1" thickTop="1">
      <c r="A18" s="736" t="s">
        <v>390</v>
      </c>
      <c r="B18" s="736"/>
      <c r="C18" s="736"/>
      <c r="D18" s="736"/>
      <c r="E18" s="736"/>
      <c r="F18" s="736"/>
      <c r="G18" s="736"/>
      <c r="H18" s="736"/>
      <c r="I18" s="268"/>
    </row>
    <row r="19" spans="1:11">
      <c r="F19" s="267"/>
    </row>
  </sheetData>
  <sheetProtection formatCells="0" formatColumns="0" formatRows="0" insertColumns="0" insertRows="0" insertHyperlinks="0" deleteColumns="0" deleteRows="0" sort="0" autoFilter="0" pivotTables="0"/>
  <mergeCells count="25">
    <mergeCell ref="K12:Q12"/>
    <mergeCell ref="K13:Q13"/>
    <mergeCell ref="K7:Q7"/>
    <mergeCell ref="K8:Q8"/>
    <mergeCell ref="K9:Q9"/>
    <mergeCell ref="K10:Q10"/>
    <mergeCell ref="K11:Q11"/>
    <mergeCell ref="E1:F1"/>
    <mergeCell ref="A2:I2"/>
    <mergeCell ref="B13:C13"/>
    <mergeCell ref="B11:C11"/>
    <mergeCell ref="B12:C12"/>
    <mergeCell ref="B6:I6"/>
    <mergeCell ref="B10:I10"/>
    <mergeCell ref="B3:C3"/>
    <mergeCell ref="B5:C5"/>
    <mergeCell ref="B4:C4"/>
    <mergeCell ref="B7:C7"/>
    <mergeCell ref="B8:C8"/>
    <mergeCell ref="B9:C9"/>
    <mergeCell ref="C14:D14"/>
    <mergeCell ref="A15:H15"/>
    <mergeCell ref="A18:H18"/>
    <mergeCell ref="B17:I17"/>
    <mergeCell ref="A16:I16"/>
  </mergeCells>
  <pageMargins left="0.25" right="0.3" top="0.75" bottom="0.75" header="0.3" footer="0.3"/>
  <pageSetup paperSize="9" scale="8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249977111117893"/>
  </sheetPr>
  <dimension ref="A1:M11"/>
  <sheetViews>
    <sheetView showGridLines="0" rightToLeft="1" view="pageBreakPreview" zoomScale="80" zoomScaleSheetLayoutView="80" workbookViewId="0">
      <selection activeCell="I7" activeCellId="3" sqref="A1:I1 E7 G7 I7"/>
    </sheetView>
  </sheetViews>
  <sheetFormatPr defaultRowHeight="20.25"/>
  <cols>
    <col min="1" max="1" width="12.75" style="167" customWidth="1"/>
    <col min="2" max="2" width="15.625" style="167" customWidth="1"/>
    <col min="3" max="3" width="13.875" style="167" customWidth="1"/>
    <col min="4" max="4" width="20.375" style="167" customWidth="1"/>
    <col min="5" max="5" width="13.75" style="167" customWidth="1"/>
    <col min="6" max="6" width="16.75" style="167" customWidth="1"/>
    <col min="7" max="7" width="16.375" style="167" customWidth="1"/>
    <col min="8" max="8" width="15.875" style="167" customWidth="1"/>
    <col min="9" max="9" width="16.125" style="167" customWidth="1"/>
    <col min="10" max="10" width="12.375" style="167" customWidth="1"/>
    <col min="11" max="16384" width="9" style="167"/>
  </cols>
  <sheetData>
    <row r="1" spans="1:13" ht="58.5" customHeight="1">
      <c r="A1" s="762" t="s">
        <v>75</v>
      </c>
      <c r="B1" s="762"/>
      <c r="C1" s="762"/>
      <c r="D1" s="762"/>
      <c r="E1" s="762"/>
      <c r="F1" s="762"/>
      <c r="G1" s="762"/>
      <c r="H1" s="762"/>
      <c r="I1" s="762"/>
      <c r="J1" s="294"/>
      <c r="K1" s="294"/>
      <c r="L1" s="294"/>
      <c r="M1" s="295"/>
    </row>
    <row r="2" spans="1:13" s="210" customFormat="1" ht="36.75" customHeight="1">
      <c r="A2" s="300" t="s">
        <v>0</v>
      </c>
      <c r="B2" s="208">
        <f>'صفحه اصلی'!C7</f>
        <v>0</v>
      </c>
      <c r="C2" s="208"/>
      <c r="D2" s="208"/>
      <c r="E2" s="208"/>
      <c r="F2" s="207"/>
      <c r="G2" s="207"/>
      <c r="H2" s="207"/>
      <c r="I2" s="207"/>
      <c r="J2" s="209"/>
    </row>
    <row r="3" spans="1:13" s="67" customFormat="1" ht="36.75" customHeight="1" thickBot="1">
      <c r="A3" s="301" t="s">
        <v>1</v>
      </c>
      <c r="B3" s="64">
        <f>'صفحه اصلی'!C8</f>
        <v>0</v>
      </c>
      <c r="C3" s="64"/>
      <c r="D3" s="65"/>
      <c r="E3" s="257"/>
      <c r="F3" s="65" t="s">
        <v>54</v>
      </c>
      <c r="G3" s="64">
        <f>'صفحه اصلی'!C9</f>
        <v>0</v>
      </c>
      <c r="H3" s="64"/>
      <c r="I3" s="63"/>
      <c r="J3" s="66"/>
    </row>
    <row r="4" spans="1:13" s="236" customFormat="1" ht="57.75" customHeight="1" thickTop="1" thickBot="1">
      <c r="A4" s="302" t="s">
        <v>76</v>
      </c>
      <c r="B4" s="763" t="s">
        <v>77</v>
      </c>
      <c r="C4" s="764"/>
      <c r="D4" s="763" t="s">
        <v>78</v>
      </c>
      <c r="E4" s="764"/>
      <c r="F4" s="763" t="s">
        <v>61</v>
      </c>
      <c r="G4" s="764"/>
      <c r="H4" s="763" t="s">
        <v>79</v>
      </c>
      <c r="I4" s="767"/>
      <c r="J4" s="259"/>
    </row>
    <row r="5" spans="1:13" ht="44.25" customHeight="1" thickBot="1">
      <c r="A5" s="303" t="s">
        <v>35</v>
      </c>
      <c r="B5" s="765"/>
      <c r="C5" s="766"/>
      <c r="D5" s="765"/>
      <c r="E5" s="766"/>
      <c r="F5" s="765"/>
      <c r="G5" s="766"/>
      <c r="H5" s="765"/>
      <c r="I5" s="768"/>
      <c r="J5" s="261"/>
    </row>
    <row r="6" spans="1:13" ht="44.25" customHeight="1" thickBot="1">
      <c r="A6" s="304" t="s">
        <v>7</v>
      </c>
      <c r="B6" s="695">
        <f>B5</f>
        <v>0</v>
      </c>
      <c r="C6" s="696"/>
      <c r="D6" s="695">
        <f>D5</f>
        <v>0</v>
      </c>
      <c r="E6" s="696"/>
      <c r="F6" s="695">
        <f>F5</f>
        <v>0</v>
      </c>
      <c r="G6" s="696"/>
      <c r="H6" s="695">
        <f>B6-D6-F6</f>
        <v>0</v>
      </c>
      <c r="I6" s="702"/>
      <c r="J6" s="261"/>
    </row>
    <row r="7" spans="1:13" s="200" customFormat="1" ht="61.5" customHeight="1" thickTop="1">
      <c r="B7" s="198" t="s">
        <v>21</v>
      </c>
      <c r="C7" s="196">
        <f>'صفحه اصلی'!C10</f>
        <v>0</v>
      </c>
      <c r="D7" s="297" t="s">
        <v>8</v>
      </c>
      <c r="E7" s="455">
        <f>'صفحه اصلی'!C11</f>
        <v>0</v>
      </c>
      <c r="F7" s="198" t="s">
        <v>9</v>
      </c>
      <c r="G7" s="455">
        <f>'صفحه اصلی'!C12</f>
        <v>0</v>
      </c>
      <c r="H7" s="298" t="s">
        <v>10</v>
      </c>
      <c r="I7" s="454">
        <f>'صفحه اصلی'!C13</f>
        <v>0</v>
      </c>
    </row>
    <row r="8" spans="1:13" ht="47.25" customHeight="1" thickBot="1">
      <c r="A8" s="761" t="s">
        <v>19</v>
      </c>
      <c r="B8" s="761"/>
      <c r="C8" s="761"/>
      <c r="D8" s="761"/>
      <c r="E8" s="761"/>
      <c r="F8" s="761"/>
      <c r="G8" s="761"/>
      <c r="H8" s="761"/>
      <c r="I8" s="299" t="s">
        <v>80</v>
      </c>
    </row>
    <row r="9" spans="1:13" ht="30.75" customHeight="1" thickTop="1" thickBot="1">
      <c r="A9" s="582" t="s">
        <v>393</v>
      </c>
      <c r="B9" s="583"/>
      <c r="C9" s="583"/>
      <c r="D9" s="583"/>
      <c r="E9" s="583"/>
      <c r="F9" s="583"/>
      <c r="G9" s="583"/>
      <c r="H9" s="583"/>
      <c r="I9" s="584"/>
      <c r="J9" s="202"/>
    </row>
    <row r="10" spans="1:13" ht="30.75" customHeight="1" thickBot="1">
      <c r="A10" s="203" t="s">
        <v>11</v>
      </c>
      <c r="B10" s="759"/>
      <c r="C10" s="759"/>
      <c r="D10" s="759"/>
      <c r="E10" s="759"/>
      <c r="F10" s="759"/>
      <c r="G10" s="759"/>
      <c r="H10" s="759"/>
      <c r="I10" s="760"/>
      <c r="J10" s="202"/>
      <c r="K10" s="267"/>
    </row>
    <row r="11" spans="1:13" ht="21" thickTop="1"/>
  </sheetData>
  <sheetProtection formatCells="0" formatColumns="0" formatRows="0" insertColumns="0" insertRows="0" insertHyperlinks="0" deleteColumns="0" deleteRows="0" sort="0" autoFilter="0" pivotTables="0"/>
  <mergeCells count="16">
    <mergeCell ref="B10:I10"/>
    <mergeCell ref="A8:H8"/>
    <mergeCell ref="A9:I9"/>
    <mergeCell ref="A1:I1"/>
    <mergeCell ref="B4:C4"/>
    <mergeCell ref="F4:G4"/>
    <mergeCell ref="B6:C6"/>
    <mergeCell ref="B5:C5"/>
    <mergeCell ref="F5:G5"/>
    <mergeCell ref="D6:E6"/>
    <mergeCell ref="F6:G6"/>
    <mergeCell ref="H6:I6"/>
    <mergeCell ref="D4:E4"/>
    <mergeCell ref="D5:E5"/>
    <mergeCell ref="H4:I4"/>
    <mergeCell ref="H5:I5"/>
  </mergeCells>
  <pageMargins left="0.28000000000000003" right="0.3" top="0.75" bottom="0.75" header="0.3" footer="0.3"/>
  <pageSetup paperSize="9" scale="8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26AC1"/>
  </sheetPr>
  <dimension ref="A1:U19"/>
  <sheetViews>
    <sheetView showGridLines="0" rightToLeft="1" view="pageBreakPreview" zoomScale="80" zoomScaleSheetLayoutView="80" workbookViewId="0">
      <selection sqref="A1:E1"/>
    </sheetView>
  </sheetViews>
  <sheetFormatPr defaultRowHeight="20.25"/>
  <cols>
    <col min="1" max="1" width="13.875" style="167" customWidth="1"/>
    <col min="2" max="2" width="18.75" style="167" customWidth="1"/>
    <col min="3" max="3" width="18" style="167" customWidth="1"/>
    <col min="4" max="4" width="15.625" style="167" customWidth="1"/>
    <col min="5" max="5" width="15.75" style="167" customWidth="1"/>
    <col min="6" max="7" width="13.625" style="167" customWidth="1"/>
    <col min="8" max="8" width="12.875" style="167" customWidth="1"/>
    <col min="9" max="9" width="17.5" style="167" customWidth="1"/>
    <col min="10" max="10" width="2.75" style="167" customWidth="1"/>
    <col min="11" max="16384" width="9" style="167"/>
  </cols>
  <sheetData>
    <row r="1" spans="1:21" s="4" customFormat="1" ht="39" customHeight="1">
      <c r="A1" s="770" t="s">
        <v>81</v>
      </c>
      <c r="B1" s="770"/>
      <c r="C1" s="770"/>
      <c r="D1" s="770"/>
      <c r="E1" s="770"/>
      <c r="F1" s="431">
        <f>'صفحه اصلی'!C9</f>
        <v>0</v>
      </c>
      <c r="G1" s="255"/>
      <c r="H1" s="255"/>
      <c r="I1" s="255"/>
      <c r="J1" s="256"/>
      <c r="K1" s="256"/>
      <c r="L1" s="60"/>
    </row>
    <row r="2" spans="1:21" s="4" customFormat="1" ht="41.25" customHeight="1">
      <c r="A2" s="716" t="s">
        <v>549</v>
      </c>
      <c r="B2" s="716"/>
      <c r="C2" s="716"/>
      <c r="D2" s="716"/>
      <c r="E2" s="716"/>
      <c r="F2" s="716"/>
      <c r="G2" s="716"/>
      <c r="H2" s="716"/>
      <c r="I2" s="716"/>
      <c r="J2" s="60"/>
    </row>
    <row r="3" spans="1:21" s="210" customFormat="1" ht="30" customHeight="1">
      <c r="A3" s="206" t="s">
        <v>0</v>
      </c>
      <c r="B3" s="208">
        <f>'صفحه اصلی'!C7</f>
        <v>0</v>
      </c>
      <c r="C3" s="208"/>
      <c r="D3" s="208"/>
      <c r="E3" s="207"/>
      <c r="F3" s="207"/>
      <c r="G3" s="207"/>
      <c r="H3" s="207"/>
      <c r="I3" s="207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1" s="67" customFormat="1" ht="30" customHeight="1" thickBot="1">
      <c r="A4" s="63" t="s">
        <v>1</v>
      </c>
      <c r="B4" s="64">
        <f>'صفحه اصلی'!C8</f>
        <v>0</v>
      </c>
      <c r="C4" s="65"/>
      <c r="D4" s="257"/>
      <c r="E4" s="257"/>
      <c r="F4" s="64"/>
      <c r="G4" s="64"/>
      <c r="H4" s="63"/>
      <c r="I4" s="64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s="236" customFormat="1" ht="51.75" customHeight="1" thickTop="1" thickBot="1">
      <c r="A5" s="233" t="s">
        <v>60</v>
      </c>
      <c r="B5" s="305" t="s">
        <v>67</v>
      </c>
      <c r="C5" s="213" t="s">
        <v>34</v>
      </c>
      <c r="D5" s="213" t="s">
        <v>35</v>
      </c>
      <c r="E5" s="213" t="s">
        <v>2</v>
      </c>
      <c r="F5" s="213" t="s">
        <v>61</v>
      </c>
      <c r="G5" s="213" t="s">
        <v>68</v>
      </c>
      <c r="H5" s="213" t="s">
        <v>83</v>
      </c>
      <c r="I5" s="306" t="s">
        <v>79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</row>
    <row r="6" spans="1:21" ht="37.5" customHeight="1" thickBot="1">
      <c r="A6" s="296" t="s">
        <v>72</v>
      </c>
      <c r="B6" s="307"/>
      <c r="C6" s="308"/>
      <c r="D6" s="308"/>
      <c r="E6" s="308"/>
      <c r="F6" s="308"/>
      <c r="G6" s="308"/>
      <c r="H6" s="308"/>
      <c r="I6" s="10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1:21" ht="37.5" customHeight="1" thickBot="1">
      <c r="A7" s="309" t="s">
        <v>82</v>
      </c>
      <c r="B7" s="194"/>
      <c r="C7" s="178"/>
      <c r="D7" s="178"/>
      <c r="E7" s="118"/>
      <c r="F7" s="178"/>
      <c r="G7" s="118"/>
      <c r="H7" s="118"/>
      <c r="I7" s="170">
        <f>B7-C7-D7-E7-F7-G7-H7</f>
        <v>0</v>
      </c>
      <c r="K7" s="769" t="str">
        <f>IF(I7='رو کش تراز '!K108," ","مغایرت مانده وجوه انتقالی نقل به سال بعد با مانده (بانک پرداخت وجوه سنوات قبل )در روکش تراز")</f>
        <v xml:space="preserve"> </v>
      </c>
      <c r="L7" s="769"/>
      <c r="M7" s="769"/>
      <c r="N7" s="769"/>
      <c r="O7" s="769"/>
      <c r="P7" s="769"/>
      <c r="Q7" s="769"/>
      <c r="R7" s="769"/>
      <c r="S7" s="769"/>
      <c r="T7" s="769"/>
      <c r="U7" s="769"/>
    </row>
    <row r="8" spans="1:21" ht="37.5" customHeight="1" thickBot="1">
      <c r="A8" s="296" t="s">
        <v>73</v>
      </c>
      <c r="B8" s="78"/>
      <c r="C8" s="189"/>
      <c r="D8" s="189"/>
      <c r="E8" s="189"/>
      <c r="F8" s="189"/>
      <c r="G8" s="169"/>
      <c r="H8" s="189"/>
      <c r="I8" s="190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</row>
    <row r="9" spans="1:21" ht="37.5" customHeight="1" thickBot="1">
      <c r="A9" s="296" t="s">
        <v>82</v>
      </c>
      <c r="B9" s="120"/>
      <c r="C9" s="194"/>
      <c r="D9" s="194"/>
      <c r="E9" s="194"/>
      <c r="F9" s="194"/>
      <c r="G9" s="194"/>
      <c r="H9" s="194"/>
      <c r="I9" s="170">
        <f>B9-C9-D9-E9-F9-G9-H9</f>
        <v>0</v>
      </c>
      <c r="K9" s="769" t="str">
        <f>IF(I9='رو کش تراز '!K241," ","مغایرت مانده وجوه انتقالی اختصاصی نقل به سال بعد با مانده (بانک پرداخت وجوه سنوات قبل اختصاصی)در روکش تراز")</f>
        <v xml:space="preserve"> </v>
      </c>
      <c r="L9" s="769"/>
      <c r="M9" s="769"/>
      <c r="N9" s="769"/>
      <c r="O9" s="769"/>
      <c r="P9" s="769"/>
      <c r="Q9" s="769"/>
      <c r="R9" s="769"/>
      <c r="S9" s="769"/>
      <c r="T9" s="769"/>
      <c r="U9" s="769"/>
    </row>
    <row r="10" spans="1:21" ht="37.5" customHeight="1" thickBot="1">
      <c r="A10" s="310" t="s">
        <v>7</v>
      </c>
      <c r="B10" s="79">
        <f>B7+B9</f>
        <v>0</v>
      </c>
      <c r="C10" s="79">
        <f t="shared" ref="C10:I10" si="0">C7+C9</f>
        <v>0</v>
      </c>
      <c r="D10" s="79">
        <f t="shared" si="0"/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5">
        <f t="shared" si="0"/>
        <v>0</v>
      </c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</row>
    <row r="11" spans="1:21" s="200" customFormat="1" ht="57" customHeight="1" thickTop="1">
      <c r="A11" s="198" t="s">
        <v>21</v>
      </c>
      <c r="B11" s="196">
        <f>'صفحه اصلی'!C10</f>
        <v>0</v>
      </c>
      <c r="C11" s="297" t="s">
        <v>8</v>
      </c>
      <c r="D11" s="455">
        <f>'صفحه اصلی'!C11</f>
        <v>0</v>
      </c>
      <c r="E11" s="198" t="s">
        <v>9</v>
      </c>
      <c r="F11" s="455">
        <f>'صفحه اصلی'!C12</f>
        <v>0</v>
      </c>
      <c r="G11" s="771" t="s">
        <v>10</v>
      </c>
      <c r="H11" s="771"/>
      <c r="I11" s="281">
        <f>'صفحه اصلی'!C13</f>
        <v>0</v>
      </c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</row>
    <row r="12" spans="1:21" s="4" customFormat="1" ht="30.75" customHeight="1" thickBot="1">
      <c r="A12" s="772" t="s">
        <v>19</v>
      </c>
      <c r="B12" s="772"/>
      <c r="C12" s="772"/>
      <c r="D12" s="772"/>
      <c r="E12" s="772"/>
      <c r="F12" s="772"/>
      <c r="G12" s="772"/>
      <c r="H12" s="772"/>
      <c r="I12" s="266" t="s">
        <v>583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33" customHeight="1" thickTop="1" thickBot="1">
      <c r="A13" s="582" t="s">
        <v>395</v>
      </c>
      <c r="B13" s="583"/>
      <c r="C13" s="583"/>
      <c r="D13" s="583"/>
      <c r="E13" s="583"/>
      <c r="F13" s="583"/>
      <c r="G13" s="583"/>
      <c r="H13" s="583"/>
      <c r="I13" s="584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ht="33" customHeight="1" thickBot="1">
      <c r="A14" s="203" t="s">
        <v>11</v>
      </c>
      <c r="B14" s="585"/>
      <c r="C14" s="585"/>
      <c r="D14" s="585"/>
      <c r="E14" s="585"/>
      <c r="F14" s="585"/>
      <c r="G14" s="585"/>
      <c r="H14" s="585"/>
      <c r="I14" s="586"/>
      <c r="J14" s="267"/>
    </row>
    <row r="15" spans="1:21" ht="15" customHeight="1" thickTop="1"/>
    <row r="16" spans="1:21" ht="14.25" customHeight="1"/>
    <row r="17" ht="14.25" customHeight="1"/>
    <row r="18" ht="14.25" customHeight="1"/>
    <row r="19" ht="14.25" customHeight="1"/>
  </sheetData>
  <sheetProtection formatCells="0" formatColumns="0" formatRows="0" insertColumns="0" insertRows="0" insertHyperlinks="0" deleteColumns="0" deleteRows="0" sort="0" autoFilter="0" pivotTables="0"/>
  <mergeCells count="8">
    <mergeCell ref="K7:U7"/>
    <mergeCell ref="K9:U9"/>
    <mergeCell ref="B14:I14"/>
    <mergeCell ref="A2:I2"/>
    <mergeCell ref="A1:E1"/>
    <mergeCell ref="G11:H11"/>
    <mergeCell ref="A12:H12"/>
    <mergeCell ref="A13:I13"/>
  </mergeCells>
  <pageMargins left="0.43" right="0.61" top="0.75" bottom="0.75" header="0.3" footer="0.3"/>
  <pageSetup paperSize="9" scale="8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</sheetPr>
  <dimension ref="A1:L14"/>
  <sheetViews>
    <sheetView showGridLines="0" rightToLeft="1" view="pageBreakPreview" zoomScale="80" zoomScaleNormal="90" zoomScaleSheetLayoutView="80" workbookViewId="0">
      <selection activeCell="H10" activeCellId="3" sqref="A1:H1 D10 F10 H10"/>
    </sheetView>
  </sheetViews>
  <sheetFormatPr defaultRowHeight="20.25"/>
  <cols>
    <col min="1" max="1" width="16.5" style="167" customWidth="1"/>
    <col min="2" max="4" width="19.625" style="167" customWidth="1"/>
    <col min="5" max="5" width="9.5" style="167" customWidth="1"/>
    <col min="6" max="6" width="11.625" style="167" customWidth="1"/>
    <col min="7" max="7" width="19.5" style="167" customWidth="1"/>
    <col min="8" max="8" width="20.375" style="167" customWidth="1"/>
    <col min="9" max="9" width="12.375" style="167" customWidth="1"/>
    <col min="10" max="16384" width="9" style="167"/>
  </cols>
  <sheetData>
    <row r="1" spans="1:12" s="361" customFormat="1" ht="30" customHeight="1">
      <c r="A1" s="773" t="s">
        <v>84</v>
      </c>
      <c r="B1" s="773"/>
      <c r="C1" s="773"/>
      <c r="D1" s="773"/>
      <c r="E1" s="773"/>
      <c r="F1" s="773"/>
      <c r="G1" s="773"/>
      <c r="H1" s="773"/>
      <c r="I1" s="68"/>
      <c r="J1" s="68"/>
      <c r="K1" s="68"/>
      <c r="L1" s="417"/>
    </row>
    <row r="2" spans="1:12" s="397" customFormat="1" ht="28.5" customHeight="1">
      <c r="A2" s="300" t="s">
        <v>0</v>
      </c>
      <c r="B2" s="418">
        <f>'صفحه اصلی'!C7</f>
        <v>0</v>
      </c>
      <c r="C2" s="418"/>
      <c r="D2" s="418"/>
      <c r="E2" s="419"/>
      <c r="F2" s="419"/>
      <c r="G2" s="419"/>
      <c r="H2" s="419"/>
      <c r="I2" s="420"/>
    </row>
    <row r="3" spans="1:12" s="363" customFormat="1" ht="29.25" customHeight="1" thickBot="1">
      <c r="A3" s="364" t="s">
        <v>1</v>
      </c>
      <c r="B3" s="359">
        <f>'صفحه اصلی'!C8</f>
        <v>0</v>
      </c>
      <c r="C3" s="366"/>
      <c r="D3" s="421"/>
      <c r="E3" s="366" t="s">
        <v>53</v>
      </c>
      <c r="F3" s="365">
        <f>'صفحه اصلی'!C9</f>
        <v>0</v>
      </c>
      <c r="G3" s="365"/>
      <c r="H3" s="364"/>
      <c r="I3" s="422"/>
    </row>
    <row r="4" spans="1:12" s="236" customFormat="1" ht="51" customHeight="1" thickTop="1" thickBot="1">
      <c r="A4" s="233" t="s">
        <v>60</v>
      </c>
      <c r="B4" s="213" t="s">
        <v>67</v>
      </c>
      <c r="C4" s="320" t="s">
        <v>34</v>
      </c>
      <c r="D4" s="320" t="s">
        <v>86</v>
      </c>
      <c r="E4" s="725" t="s">
        <v>69</v>
      </c>
      <c r="F4" s="726"/>
      <c r="G4" s="321" t="s">
        <v>70</v>
      </c>
      <c r="H4" s="214" t="s">
        <v>71</v>
      </c>
      <c r="I4" s="234"/>
    </row>
    <row r="5" spans="1:12" s="317" customFormat="1" ht="36" customHeight="1" thickBot="1">
      <c r="A5" s="296" t="s">
        <v>85</v>
      </c>
      <c r="B5" s="119"/>
      <c r="C5" s="194"/>
      <c r="D5" s="194"/>
      <c r="E5" s="765"/>
      <c r="F5" s="766"/>
      <c r="G5" s="194"/>
      <c r="H5" s="99"/>
      <c r="I5" s="221"/>
    </row>
    <row r="6" spans="1:12" s="317" customFormat="1" ht="36" customHeight="1" thickBot="1">
      <c r="A6" s="309" t="s">
        <v>83</v>
      </c>
      <c r="B6" s="119"/>
      <c r="C6" s="119"/>
      <c r="D6" s="119"/>
      <c r="E6" s="774"/>
      <c r="F6" s="775"/>
      <c r="G6" s="119"/>
      <c r="H6" s="322">
        <f>B6-C6-D6-E6-F6-G6</f>
        <v>0</v>
      </c>
    </row>
    <row r="7" spans="1:12" s="317" customFormat="1" ht="36" customHeight="1" thickBot="1">
      <c r="A7" s="296" t="s">
        <v>88</v>
      </c>
      <c r="B7" s="119"/>
      <c r="C7" s="119"/>
      <c r="D7" s="119"/>
      <c r="E7" s="776"/>
      <c r="F7" s="777"/>
      <c r="G7" s="119"/>
      <c r="H7" s="322">
        <f>B7-C7-D7-E7-F7-G7</f>
        <v>0</v>
      </c>
      <c r="I7" s="221"/>
    </row>
    <row r="8" spans="1:12" s="317" customFormat="1" ht="36" customHeight="1" thickBot="1">
      <c r="A8" s="318" t="s">
        <v>57</v>
      </c>
      <c r="B8" s="323">
        <f>SUM(B5:B7)</f>
        <v>0</v>
      </c>
      <c r="C8" s="323">
        <f>SUM(C5:C7)</f>
        <v>0</v>
      </c>
      <c r="D8" s="323">
        <f>SUM(D5:D7)</f>
        <v>0</v>
      </c>
      <c r="E8" s="778">
        <f>E5</f>
        <v>0</v>
      </c>
      <c r="F8" s="779"/>
      <c r="G8" s="323">
        <f>SUM(G5:G7)</f>
        <v>0</v>
      </c>
      <c r="H8" s="322">
        <f>SUM(H6:H7)</f>
        <v>0</v>
      </c>
      <c r="I8" s="221"/>
    </row>
    <row r="9" spans="1:12" s="317" customFormat="1" ht="36" customHeight="1" thickBot="1">
      <c r="A9" s="203" t="s">
        <v>11</v>
      </c>
      <c r="B9" s="759"/>
      <c r="C9" s="759"/>
      <c r="D9" s="759"/>
      <c r="E9" s="759"/>
      <c r="F9" s="759"/>
      <c r="G9" s="759"/>
      <c r="H9" s="760"/>
      <c r="I9" s="234"/>
      <c r="J9" s="319"/>
    </row>
    <row r="10" spans="1:12" s="369" customFormat="1" ht="54.75" customHeight="1" thickTop="1">
      <c r="A10" s="389" t="s">
        <v>21</v>
      </c>
      <c r="B10" s="388">
        <f>'صفحه اصلی'!C10</f>
        <v>0</v>
      </c>
      <c r="C10" s="424" t="s">
        <v>8</v>
      </c>
      <c r="D10" s="388">
        <f>'صفحه اصلی'!C11</f>
        <v>0</v>
      </c>
      <c r="E10" s="389" t="s">
        <v>9</v>
      </c>
      <c r="F10" s="388">
        <f>'صفحه اصلی'!C12</f>
        <v>0</v>
      </c>
      <c r="G10" s="423" t="s">
        <v>10</v>
      </c>
      <c r="H10" s="390">
        <f>'صفحه اصلی'!C13</f>
        <v>0</v>
      </c>
    </row>
    <row r="11" spans="1:12" s="4" customFormat="1" ht="26.25" customHeight="1" thickBot="1">
      <c r="A11" s="772" t="s">
        <v>19</v>
      </c>
      <c r="B11" s="772"/>
      <c r="C11" s="772"/>
      <c r="D11" s="772"/>
      <c r="E11" s="772"/>
      <c r="F11" s="772"/>
      <c r="G11" s="772"/>
      <c r="H11" s="266" t="s">
        <v>87</v>
      </c>
    </row>
    <row r="12" spans="1:12" ht="36" customHeight="1" thickTop="1" thickBot="1">
      <c r="A12" s="582" t="s">
        <v>396</v>
      </c>
      <c r="B12" s="583"/>
      <c r="C12" s="583"/>
      <c r="D12" s="583"/>
      <c r="E12" s="583"/>
      <c r="F12" s="583"/>
      <c r="G12" s="583"/>
      <c r="H12" s="584"/>
      <c r="I12" s="202"/>
    </row>
    <row r="13" spans="1:12" ht="36" customHeight="1" thickBot="1">
      <c r="A13" s="203" t="s">
        <v>11</v>
      </c>
      <c r="B13" s="585"/>
      <c r="C13" s="585"/>
      <c r="D13" s="585"/>
      <c r="E13" s="585"/>
      <c r="F13" s="585"/>
      <c r="G13" s="585"/>
      <c r="H13" s="586"/>
      <c r="I13" s="202"/>
      <c r="J13" s="267"/>
    </row>
    <row r="14" spans="1:12" ht="21" thickTop="1"/>
  </sheetData>
  <sheetProtection formatCells="0" formatColumns="0" formatRows="0" insertColumns="0" insertRows="0" insertHyperlinks="0" deleteColumns="0" deleteRows="0" sort="0" autoFilter="0" pivotTables="0"/>
  <mergeCells count="10">
    <mergeCell ref="B13:H13"/>
    <mergeCell ref="A1:H1"/>
    <mergeCell ref="B9:H9"/>
    <mergeCell ref="E4:F4"/>
    <mergeCell ref="E5:F5"/>
    <mergeCell ref="E6:F6"/>
    <mergeCell ref="E7:F7"/>
    <mergeCell ref="E8:F8"/>
    <mergeCell ref="A11:G11"/>
    <mergeCell ref="A12:H12"/>
  </mergeCells>
  <pageMargins left="0.25" right="0.25" top="0.75" bottom="0.75" header="0.3" footer="0.3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6"/>
  <sheetViews>
    <sheetView showGridLines="0" rightToLeft="1" view="pageBreakPreview" zoomScale="70" zoomScaleNormal="80" zoomScaleSheetLayoutView="70" workbookViewId="0">
      <selection activeCell="A6" sqref="A6:XFD19"/>
    </sheetView>
  </sheetViews>
  <sheetFormatPr defaultRowHeight="20.25"/>
  <cols>
    <col min="1" max="1" width="12.5" style="167" customWidth="1"/>
    <col min="2" max="2" width="23.5" style="167" customWidth="1"/>
    <col min="3" max="3" width="20.25" style="167" customWidth="1"/>
    <col min="4" max="5" width="18.25" style="167" customWidth="1"/>
    <col min="6" max="7" width="16" style="167" customWidth="1"/>
    <col min="8" max="8" width="20.125" style="167" customWidth="1"/>
    <col min="9" max="9" width="15.625" style="167" customWidth="1"/>
    <col min="10" max="16384" width="9" style="336"/>
  </cols>
  <sheetData>
    <row r="1" spans="1:15" s="361" customFormat="1" ht="35.25" customHeight="1">
      <c r="A1" s="573" t="s">
        <v>89</v>
      </c>
      <c r="B1" s="573"/>
      <c r="C1" s="573"/>
      <c r="D1" s="573"/>
      <c r="E1" s="573"/>
      <c r="F1" s="573"/>
      <c r="G1" s="573"/>
      <c r="H1" s="573"/>
      <c r="I1" s="573"/>
    </row>
    <row r="2" spans="1:15" s="363" customFormat="1" ht="24.75" customHeight="1">
      <c r="A2" s="425" t="s">
        <v>0</v>
      </c>
      <c r="B2" s="426">
        <f>'صفحه اصلی'!C7</f>
        <v>0</v>
      </c>
      <c r="C2" s="786"/>
      <c r="D2" s="786"/>
      <c r="E2" s="786"/>
      <c r="F2" s="362"/>
      <c r="G2" s="362"/>
      <c r="H2" s="362"/>
      <c r="I2" s="362"/>
    </row>
    <row r="3" spans="1:15" s="363" customFormat="1" ht="25.5" customHeight="1" thickBot="1">
      <c r="A3" s="366" t="s">
        <v>1</v>
      </c>
      <c r="B3" s="359">
        <f>'صفحه اصلی'!C8</f>
        <v>0</v>
      </c>
      <c r="C3" s="427"/>
      <c r="D3" s="366" t="s">
        <v>31</v>
      </c>
      <c r="E3" s="428"/>
      <c r="F3" s="366" t="s">
        <v>54</v>
      </c>
      <c r="G3" s="359">
        <f>'صفحه اصلی'!C9</f>
        <v>0</v>
      </c>
      <c r="H3" s="365"/>
      <c r="I3" s="364"/>
    </row>
    <row r="4" spans="1:15" s="167" customFormat="1" ht="24.75" customHeight="1" thickTop="1">
      <c r="A4" s="674" t="s">
        <v>90</v>
      </c>
      <c r="B4" s="676" t="s">
        <v>91</v>
      </c>
      <c r="C4" s="676" t="s">
        <v>16</v>
      </c>
      <c r="D4" s="676" t="s">
        <v>92</v>
      </c>
      <c r="E4" s="676" t="s">
        <v>34</v>
      </c>
      <c r="F4" s="676" t="s">
        <v>35</v>
      </c>
      <c r="G4" s="676" t="s">
        <v>2</v>
      </c>
      <c r="H4" s="676" t="s">
        <v>96</v>
      </c>
      <c r="I4" s="678" t="s">
        <v>97</v>
      </c>
    </row>
    <row r="5" spans="1:15" s="167" customFormat="1" ht="21.75" customHeight="1" thickBot="1">
      <c r="A5" s="675"/>
      <c r="B5" s="677"/>
      <c r="C5" s="677"/>
      <c r="D5" s="677"/>
      <c r="E5" s="677"/>
      <c r="F5" s="677"/>
      <c r="G5" s="677"/>
      <c r="H5" s="677"/>
      <c r="I5" s="679"/>
      <c r="J5" s="267"/>
    </row>
    <row r="6" spans="1:15" s="167" customFormat="1" ht="24.75" customHeight="1">
      <c r="A6" s="179">
        <f>'2'!A6</f>
        <v>0</v>
      </c>
      <c r="B6" s="353"/>
      <c r="C6" s="278">
        <f>'2'!L6</f>
        <v>0</v>
      </c>
      <c r="D6" s="353"/>
      <c r="E6" s="353"/>
      <c r="F6" s="353"/>
      <c r="G6" s="353"/>
      <c r="H6" s="243">
        <f>SUM(E6:G6)</f>
        <v>0</v>
      </c>
      <c r="I6" s="351"/>
      <c r="J6" s="734"/>
      <c r="K6" s="734"/>
      <c r="L6" s="734"/>
      <c r="M6" s="734"/>
      <c r="N6" s="734"/>
      <c r="O6" s="734"/>
    </row>
    <row r="7" spans="1:15" s="167" customFormat="1" ht="24.75" customHeight="1">
      <c r="A7" s="148">
        <f>'2'!A7</f>
        <v>0</v>
      </c>
      <c r="B7" s="353"/>
      <c r="C7" s="278">
        <f>'2'!L7</f>
        <v>0</v>
      </c>
      <c r="D7" s="353"/>
      <c r="E7" s="353"/>
      <c r="F7" s="353"/>
      <c r="G7" s="353"/>
      <c r="H7" s="243">
        <f t="shared" ref="H7" si="0">SUM(E7:G7)</f>
        <v>0</v>
      </c>
      <c r="I7" s="351"/>
      <c r="J7" s="734"/>
      <c r="K7" s="734"/>
      <c r="L7" s="734"/>
      <c r="M7" s="734"/>
      <c r="N7" s="734"/>
      <c r="O7" s="734"/>
    </row>
    <row r="8" spans="1:15" s="167" customFormat="1" ht="24.75" customHeight="1">
      <c r="A8" s="148">
        <f>'2'!A8</f>
        <v>0</v>
      </c>
      <c r="B8" s="470"/>
      <c r="C8" s="278">
        <f>'2'!L8</f>
        <v>0</v>
      </c>
      <c r="D8" s="470"/>
      <c r="E8" s="470"/>
      <c r="F8" s="470"/>
      <c r="G8" s="470"/>
      <c r="H8" s="243">
        <f t="shared" ref="H8:H18" si="1">SUM(E8:G8)</f>
        <v>0</v>
      </c>
      <c r="I8" s="471"/>
      <c r="J8" s="734"/>
      <c r="K8" s="734"/>
      <c r="L8" s="734"/>
      <c r="M8" s="734"/>
      <c r="N8" s="734"/>
      <c r="O8" s="734"/>
    </row>
    <row r="9" spans="1:15" s="167" customFormat="1" ht="24.75" customHeight="1">
      <c r="A9" s="148">
        <f>'2'!A9</f>
        <v>0</v>
      </c>
      <c r="B9" s="470"/>
      <c r="C9" s="278">
        <f>'2'!L9</f>
        <v>0</v>
      </c>
      <c r="D9" s="470"/>
      <c r="E9" s="470"/>
      <c r="F9" s="470"/>
      <c r="G9" s="470"/>
      <c r="H9" s="243">
        <f t="shared" si="1"/>
        <v>0</v>
      </c>
      <c r="I9" s="471"/>
      <c r="J9" s="734"/>
      <c r="K9" s="734"/>
      <c r="L9" s="734"/>
      <c r="M9" s="734"/>
      <c r="N9" s="734"/>
      <c r="O9" s="734"/>
    </row>
    <row r="10" spans="1:15" s="167" customFormat="1" ht="24.75" customHeight="1">
      <c r="A10" s="148">
        <f>'2'!A10</f>
        <v>0</v>
      </c>
      <c r="B10" s="470"/>
      <c r="C10" s="278">
        <f>'2'!L10</f>
        <v>0</v>
      </c>
      <c r="D10" s="470"/>
      <c r="E10" s="470"/>
      <c r="F10" s="470"/>
      <c r="G10" s="470"/>
      <c r="H10" s="243">
        <f t="shared" si="1"/>
        <v>0</v>
      </c>
      <c r="I10" s="471"/>
      <c r="J10" s="734"/>
      <c r="K10" s="734"/>
      <c r="L10" s="734"/>
      <c r="M10" s="734"/>
      <c r="N10" s="734"/>
      <c r="O10" s="734"/>
    </row>
    <row r="11" spans="1:15" s="167" customFormat="1" ht="24.75" customHeight="1">
      <c r="A11" s="148">
        <f>'2'!A11</f>
        <v>0</v>
      </c>
      <c r="B11" s="470"/>
      <c r="C11" s="278">
        <f>'2'!L11</f>
        <v>0</v>
      </c>
      <c r="D11" s="470"/>
      <c r="E11" s="470"/>
      <c r="F11" s="470"/>
      <c r="G11" s="470"/>
      <c r="H11" s="243">
        <f t="shared" si="1"/>
        <v>0</v>
      </c>
      <c r="I11" s="471"/>
      <c r="J11" s="429"/>
      <c r="K11" s="192"/>
      <c r="L11" s="192"/>
      <c r="M11" s="192"/>
      <c r="N11" s="192"/>
      <c r="O11" s="192"/>
    </row>
    <row r="12" spans="1:15" s="167" customFormat="1" ht="24.75" customHeight="1">
      <c r="A12" s="148">
        <f>'2'!A12</f>
        <v>0</v>
      </c>
      <c r="B12" s="470"/>
      <c r="C12" s="278">
        <f>'2'!L12</f>
        <v>0</v>
      </c>
      <c r="D12" s="470"/>
      <c r="E12" s="470"/>
      <c r="F12" s="470"/>
      <c r="G12" s="470"/>
      <c r="H12" s="243">
        <f t="shared" si="1"/>
        <v>0</v>
      </c>
      <c r="I12" s="471"/>
      <c r="J12" s="429"/>
      <c r="K12" s="192"/>
      <c r="L12" s="192"/>
      <c r="M12" s="192"/>
      <c r="N12" s="192"/>
      <c r="O12" s="192"/>
    </row>
    <row r="13" spans="1:15" s="167" customFormat="1" ht="24.75" customHeight="1">
      <c r="A13" s="148">
        <f>'2'!A13</f>
        <v>0</v>
      </c>
      <c r="B13" s="470"/>
      <c r="C13" s="278">
        <f>'2'!L13</f>
        <v>0</v>
      </c>
      <c r="D13" s="470"/>
      <c r="E13" s="470"/>
      <c r="F13" s="470"/>
      <c r="G13" s="470"/>
      <c r="H13" s="243">
        <f t="shared" si="1"/>
        <v>0</v>
      </c>
      <c r="I13" s="471"/>
      <c r="J13" s="429"/>
      <c r="K13" s="192"/>
      <c r="L13" s="192"/>
      <c r="M13" s="192"/>
      <c r="N13" s="192"/>
      <c r="O13" s="192"/>
    </row>
    <row r="14" spans="1:15" s="167" customFormat="1" ht="24.75" customHeight="1">
      <c r="A14" s="148">
        <f>'2'!A14</f>
        <v>0</v>
      </c>
      <c r="B14" s="470"/>
      <c r="C14" s="278">
        <f>'2'!L14</f>
        <v>0</v>
      </c>
      <c r="D14" s="470"/>
      <c r="E14" s="470"/>
      <c r="F14" s="470"/>
      <c r="G14" s="470"/>
      <c r="H14" s="243">
        <f t="shared" si="1"/>
        <v>0</v>
      </c>
      <c r="I14" s="471"/>
      <c r="J14" s="429"/>
      <c r="K14" s="472"/>
      <c r="L14" s="472"/>
      <c r="M14" s="472"/>
      <c r="N14" s="472"/>
      <c r="O14" s="472"/>
    </row>
    <row r="15" spans="1:15" s="167" customFormat="1" ht="24.75" customHeight="1">
      <c r="A15" s="148">
        <f>'2'!A15</f>
        <v>0</v>
      </c>
      <c r="B15" s="470"/>
      <c r="C15" s="278">
        <f>'2'!L15</f>
        <v>0</v>
      </c>
      <c r="D15" s="470"/>
      <c r="E15" s="470"/>
      <c r="F15" s="470"/>
      <c r="G15" s="470"/>
      <c r="H15" s="243">
        <f t="shared" si="1"/>
        <v>0</v>
      </c>
      <c r="I15" s="471"/>
      <c r="J15" s="429"/>
      <c r="K15" s="472"/>
      <c r="L15" s="472"/>
      <c r="M15" s="472"/>
      <c r="N15" s="472"/>
      <c r="O15" s="472"/>
    </row>
    <row r="16" spans="1:15" s="167" customFormat="1" ht="24.75" customHeight="1">
      <c r="A16" s="148">
        <f>'2'!A16</f>
        <v>0</v>
      </c>
      <c r="B16" s="470"/>
      <c r="C16" s="278">
        <f>'2'!L16</f>
        <v>0</v>
      </c>
      <c r="D16" s="470"/>
      <c r="E16" s="470"/>
      <c r="F16" s="470"/>
      <c r="G16" s="470"/>
      <c r="H16" s="243">
        <f t="shared" si="1"/>
        <v>0</v>
      </c>
      <c r="I16" s="471"/>
      <c r="J16" s="429"/>
      <c r="K16" s="192"/>
      <c r="L16" s="192"/>
      <c r="M16" s="192"/>
      <c r="N16" s="192"/>
      <c r="O16" s="192"/>
    </row>
    <row r="17" spans="1:15" s="167" customFormat="1" ht="24.75" customHeight="1">
      <c r="A17" s="148">
        <f>'2'!A17</f>
        <v>0</v>
      </c>
      <c r="B17" s="470"/>
      <c r="C17" s="278">
        <f>'2'!L17</f>
        <v>0</v>
      </c>
      <c r="D17" s="470"/>
      <c r="E17" s="470"/>
      <c r="F17" s="470"/>
      <c r="G17" s="470"/>
      <c r="H17" s="243">
        <f t="shared" si="1"/>
        <v>0</v>
      </c>
      <c r="I17" s="471"/>
      <c r="J17" s="429"/>
      <c r="K17" s="192"/>
      <c r="L17" s="192"/>
      <c r="M17" s="192"/>
      <c r="N17" s="192"/>
      <c r="O17" s="192"/>
    </row>
    <row r="18" spans="1:15" s="167" customFormat="1" ht="24.75" customHeight="1">
      <c r="A18" s="148">
        <f>'2'!A18</f>
        <v>0</v>
      </c>
      <c r="B18" s="470"/>
      <c r="C18" s="278">
        <f>'2'!L18</f>
        <v>0</v>
      </c>
      <c r="D18" s="470"/>
      <c r="E18" s="470"/>
      <c r="F18" s="470"/>
      <c r="G18" s="470"/>
      <c r="H18" s="243">
        <f t="shared" si="1"/>
        <v>0</v>
      </c>
      <c r="I18" s="471"/>
      <c r="J18" s="734"/>
      <c r="K18" s="734"/>
      <c r="L18" s="734"/>
      <c r="M18" s="734"/>
      <c r="N18" s="734"/>
      <c r="O18" s="734"/>
    </row>
    <row r="19" spans="1:15" s="167" customFormat="1" ht="24.75" customHeight="1" thickBot="1">
      <c r="A19" s="148">
        <f>'2'!A19</f>
        <v>0</v>
      </c>
      <c r="B19" s="470"/>
      <c r="C19" s="278">
        <f>'2'!L19</f>
        <v>0</v>
      </c>
      <c r="D19" s="470"/>
      <c r="E19" s="470"/>
      <c r="F19" s="470"/>
      <c r="G19" s="470"/>
      <c r="H19" s="243">
        <f t="shared" ref="H19" si="2">SUM(E19:G19)</f>
        <v>0</v>
      </c>
      <c r="I19" s="471"/>
      <c r="J19" s="267"/>
    </row>
    <row r="20" spans="1:15" s="167" customFormat="1" ht="30" customHeight="1" thickBot="1">
      <c r="A20" s="780" t="s">
        <v>93</v>
      </c>
      <c r="B20" s="781"/>
      <c r="C20" s="77">
        <f>SUM(C6:C19)</f>
        <v>0</v>
      </c>
      <c r="D20" s="77">
        <f>SUM(D6:D19)</f>
        <v>0</v>
      </c>
      <c r="E20" s="24">
        <f t="shared" ref="E20:H20" si="3">SUM(E6:E19)</f>
        <v>0</v>
      </c>
      <c r="F20" s="24">
        <f t="shared" si="3"/>
        <v>0</v>
      </c>
      <c r="G20" s="24">
        <f t="shared" si="3"/>
        <v>0</v>
      </c>
      <c r="H20" s="71">
        <f t="shared" si="3"/>
        <v>0</v>
      </c>
      <c r="I20" s="170"/>
      <c r="J20" s="267"/>
    </row>
    <row r="21" spans="1:15" s="4" customFormat="1" ht="28.5" customHeight="1" thickBot="1">
      <c r="A21" s="782" t="s">
        <v>94</v>
      </c>
      <c r="B21" s="783"/>
      <c r="C21" s="783"/>
      <c r="D21" s="783"/>
      <c r="E21" s="783"/>
      <c r="F21" s="783"/>
      <c r="G21" s="783"/>
      <c r="H21" s="783"/>
      <c r="I21" s="784"/>
    </row>
    <row r="22" spans="1:15" s="67" customFormat="1" ht="38.25" customHeight="1" thickTop="1">
      <c r="A22" s="240" t="s">
        <v>95</v>
      </c>
      <c r="B22" s="240">
        <f>'صفحه اصلی'!C10</f>
        <v>0</v>
      </c>
      <c r="C22" s="240" t="s">
        <v>8</v>
      </c>
      <c r="D22" s="240">
        <f>'صفحه اصلی'!C11</f>
        <v>0</v>
      </c>
      <c r="E22" s="287" t="s">
        <v>9</v>
      </c>
      <c r="F22" s="240">
        <f>'صفحه اصلی'!C12</f>
        <v>0</v>
      </c>
      <c r="G22" s="785" t="s">
        <v>10</v>
      </c>
      <c r="H22" s="785"/>
      <c r="I22" s="289">
        <f>'صفحه اصلی'!C13</f>
        <v>0</v>
      </c>
    </row>
    <row r="23" spans="1:15" s="167" customFormat="1" ht="26.25" customHeight="1" thickBot="1">
      <c r="A23" s="587" t="s">
        <v>19</v>
      </c>
      <c r="B23" s="587"/>
      <c r="C23" s="587"/>
      <c r="D23" s="587"/>
      <c r="E23" s="587"/>
      <c r="F23" s="587"/>
      <c r="G23" s="587"/>
      <c r="H23" s="587"/>
      <c r="I23" s="266" t="s">
        <v>98</v>
      </c>
    </row>
    <row r="24" spans="1:15" s="167" customFormat="1" ht="25.5" customHeight="1" thickTop="1" thickBot="1">
      <c r="A24" s="582" t="s">
        <v>38</v>
      </c>
      <c r="B24" s="583"/>
      <c r="C24" s="583"/>
      <c r="D24" s="583"/>
      <c r="E24" s="583"/>
      <c r="F24" s="583"/>
      <c r="G24" s="583"/>
      <c r="H24" s="583"/>
      <c r="I24" s="584"/>
    </row>
    <row r="25" spans="1:15" s="167" customFormat="1" ht="25.5" customHeight="1" thickBot="1">
      <c r="A25" s="203" t="s">
        <v>11</v>
      </c>
      <c r="B25" s="680"/>
      <c r="C25" s="680"/>
      <c r="D25" s="680"/>
      <c r="E25" s="680"/>
      <c r="F25" s="680"/>
      <c r="G25" s="680"/>
      <c r="H25" s="680"/>
      <c r="I25" s="681"/>
    </row>
    <row r="26" spans="1:15" ht="21" thickTop="1"/>
  </sheetData>
  <sheetProtection formatCells="0" formatColumns="0" formatRows="0" insertColumns="0" insertRows="0" insertHyperlinks="0" deleteColumns="0" deleteRows="0" sort="0" autoFilter="0" pivotTables="0"/>
  <mergeCells count="23">
    <mergeCell ref="B25:I25"/>
    <mergeCell ref="A1:I1"/>
    <mergeCell ref="C2:E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18:O18"/>
    <mergeCell ref="A24:I24"/>
    <mergeCell ref="J6:O6"/>
    <mergeCell ref="J7:O7"/>
    <mergeCell ref="J8:O8"/>
    <mergeCell ref="J9:O9"/>
    <mergeCell ref="J10:O10"/>
    <mergeCell ref="A20:B20"/>
    <mergeCell ref="A21:I21"/>
    <mergeCell ref="G22:H22"/>
    <mergeCell ref="A23:H23"/>
  </mergeCells>
  <pageMargins left="0.25" right="0.25" top="0.36" bottom="0.75" header="0.3" footer="0.3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7030A0"/>
  </sheetPr>
  <dimension ref="A1:AK445"/>
  <sheetViews>
    <sheetView showGridLines="0" rightToLeft="1" view="pageBreakPreview" zoomScale="80" zoomScaleNormal="90" zoomScaleSheetLayoutView="80" workbookViewId="0">
      <selection activeCell="C8" sqref="C8:F8"/>
    </sheetView>
  </sheetViews>
  <sheetFormatPr defaultRowHeight="24.75"/>
  <cols>
    <col min="1" max="1" width="7.875" style="147" customWidth="1"/>
    <col min="2" max="2" width="41" style="139" customWidth="1"/>
    <col min="3" max="18" width="5.5" style="131" customWidth="1"/>
    <col min="19" max="19" width="2" style="87" customWidth="1"/>
    <col min="20" max="20" width="9" style="164" customWidth="1"/>
    <col min="21" max="27" width="9" style="164"/>
    <col min="28" max="37" width="9" style="152"/>
    <col min="38" max="16384" width="9" style="31"/>
  </cols>
  <sheetData>
    <row r="1" spans="1:32" ht="31.5" customHeight="1">
      <c r="A1" s="487" t="s">
        <v>550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180"/>
      <c r="T1" s="149"/>
      <c r="U1" s="149"/>
      <c r="V1" s="149"/>
      <c r="W1" s="149"/>
      <c r="X1" s="149"/>
      <c r="Y1" s="149"/>
      <c r="Z1" s="149"/>
      <c r="AA1" s="149"/>
      <c r="AB1" s="150"/>
      <c r="AC1" s="150"/>
      <c r="AD1" s="151"/>
      <c r="AE1" s="151"/>
    </row>
    <row r="2" spans="1:32" ht="31.5" customHeight="1">
      <c r="A2" s="487" t="s">
        <v>551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180"/>
      <c r="T2" s="149"/>
      <c r="U2" s="149"/>
      <c r="V2" s="149"/>
      <c r="W2" s="149"/>
      <c r="X2" s="149"/>
      <c r="Y2" s="149"/>
      <c r="Z2" s="149"/>
      <c r="AA2" s="149"/>
      <c r="AB2" s="150"/>
      <c r="AC2" s="150"/>
      <c r="AD2" s="151"/>
      <c r="AE2" s="151"/>
    </row>
    <row r="3" spans="1:32" ht="31.5" customHeight="1">
      <c r="A3" s="488" t="s">
        <v>552</v>
      </c>
      <c r="B3" s="488"/>
      <c r="C3" s="488"/>
      <c r="D3" s="488"/>
      <c r="E3" s="488"/>
      <c r="F3" s="488"/>
      <c r="G3" s="181">
        <f>'صفحه اصلی'!C9</f>
        <v>0</v>
      </c>
      <c r="H3" s="489" t="s">
        <v>553</v>
      </c>
      <c r="I3" s="489"/>
      <c r="J3" s="489"/>
      <c r="K3" s="489"/>
      <c r="L3" s="182"/>
      <c r="M3" s="182"/>
      <c r="N3" s="182"/>
      <c r="O3" s="182"/>
      <c r="P3" s="182"/>
      <c r="Q3" s="182"/>
      <c r="R3" s="182"/>
      <c r="S3" s="180"/>
      <c r="T3" s="149"/>
      <c r="U3" s="149"/>
      <c r="V3" s="149"/>
      <c r="W3" s="149"/>
      <c r="X3" s="149"/>
      <c r="Y3" s="149"/>
      <c r="Z3" s="149"/>
      <c r="AA3" s="149"/>
      <c r="AB3" s="153"/>
      <c r="AC3" s="153"/>
      <c r="AD3" s="154"/>
      <c r="AE3" s="154"/>
    </row>
    <row r="4" spans="1:32" ht="25.5" thickBot="1">
      <c r="A4" s="343" t="s">
        <v>119</v>
      </c>
      <c r="B4" s="183">
        <f>'صفحه اصلی'!C8</f>
        <v>0</v>
      </c>
      <c r="C4" s="184"/>
      <c r="D4" s="184"/>
      <c r="E4" s="184"/>
      <c r="F4" s="184"/>
      <c r="H4" s="185"/>
      <c r="I4" s="185"/>
      <c r="J4" s="185"/>
      <c r="K4" s="185"/>
      <c r="L4" s="490" t="s">
        <v>554</v>
      </c>
      <c r="M4" s="490"/>
      <c r="N4" s="490"/>
      <c r="O4" s="491">
        <f>'صفحه اصلی'!C7</f>
        <v>0</v>
      </c>
      <c r="P4" s="491"/>
      <c r="Q4" s="491"/>
      <c r="R4" s="491"/>
      <c r="S4" s="185"/>
      <c r="T4" s="155"/>
      <c r="U4" s="155"/>
      <c r="V4" s="155"/>
      <c r="W4" s="155"/>
      <c r="X4" s="155"/>
      <c r="Y4" s="155"/>
      <c r="Z4" s="155"/>
      <c r="AA4" s="155"/>
      <c r="AB4" s="156"/>
      <c r="AC4" s="156"/>
      <c r="AD4" s="157"/>
      <c r="AE4" s="157"/>
    </row>
    <row r="5" spans="1:32" ht="27.75" customHeight="1">
      <c r="A5" s="536" t="s">
        <v>120</v>
      </c>
      <c r="B5" s="565" t="s">
        <v>76</v>
      </c>
      <c r="C5" s="538" t="s">
        <v>121</v>
      </c>
      <c r="D5" s="539"/>
      <c r="E5" s="539"/>
      <c r="F5" s="540"/>
      <c r="G5" s="544" t="s">
        <v>122</v>
      </c>
      <c r="H5" s="544"/>
      <c r="I5" s="544"/>
      <c r="J5" s="545"/>
      <c r="K5" s="539" t="s">
        <v>544</v>
      </c>
      <c r="L5" s="539"/>
      <c r="M5" s="539"/>
      <c r="N5" s="540"/>
      <c r="O5" s="539" t="s">
        <v>123</v>
      </c>
      <c r="P5" s="539"/>
      <c r="Q5" s="539"/>
      <c r="R5" s="540"/>
      <c r="S5" s="86"/>
      <c r="T5" s="158"/>
      <c r="U5" s="159"/>
      <c r="V5" s="159"/>
      <c r="W5" s="159"/>
      <c r="X5" s="159"/>
      <c r="Y5" s="159"/>
      <c r="Z5" s="159"/>
      <c r="AA5" s="159"/>
      <c r="AB5" s="160"/>
      <c r="AC5" s="160"/>
      <c r="AD5" s="161"/>
      <c r="AE5" s="161"/>
      <c r="AF5" s="161"/>
    </row>
    <row r="6" spans="1:32" ht="24" customHeight="1" thickBot="1">
      <c r="A6" s="537"/>
      <c r="B6" s="566"/>
      <c r="C6" s="541"/>
      <c r="D6" s="542"/>
      <c r="E6" s="542"/>
      <c r="F6" s="543"/>
      <c r="G6" s="546"/>
      <c r="H6" s="546"/>
      <c r="I6" s="546"/>
      <c r="J6" s="547"/>
      <c r="K6" s="542"/>
      <c r="L6" s="542"/>
      <c r="M6" s="542"/>
      <c r="N6" s="543"/>
      <c r="O6" s="542"/>
      <c r="P6" s="542"/>
      <c r="Q6" s="542"/>
      <c r="R6" s="543"/>
      <c r="S6" s="86"/>
      <c r="T6" s="159"/>
      <c r="U6" s="159"/>
      <c r="V6" s="159"/>
      <c r="W6" s="159"/>
      <c r="X6" s="159"/>
      <c r="Y6" s="159"/>
      <c r="Z6" s="159"/>
      <c r="AA6" s="159"/>
      <c r="AB6" s="160"/>
      <c r="AC6" s="160"/>
      <c r="AD6" s="161"/>
      <c r="AE6" s="161"/>
      <c r="AF6" s="161"/>
    </row>
    <row r="7" spans="1:32" s="2" customFormat="1" ht="32.25" thickBot="1">
      <c r="A7" s="140">
        <v>101</v>
      </c>
      <c r="B7" s="29"/>
      <c r="C7" s="499" t="s">
        <v>522</v>
      </c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1"/>
      <c r="S7" s="28"/>
      <c r="T7" s="158"/>
      <c r="U7" s="162"/>
      <c r="V7" s="162"/>
      <c r="W7" s="162"/>
      <c r="X7" s="162"/>
      <c r="Y7" s="162"/>
      <c r="Z7" s="162"/>
      <c r="AA7" s="162"/>
      <c r="AB7" s="95"/>
      <c r="AC7" s="96"/>
    </row>
    <row r="8" spans="1:32" ht="30.75" customHeight="1">
      <c r="A8" s="141">
        <v>10101</v>
      </c>
      <c r="B8" s="133" t="s">
        <v>124</v>
      </c>
      <c r="C8" s="496"/>
      <c r="D8" s="497"/>
      <c r="E8" s="497"/>
      <c r="F8" s="498"/>
      <c r="G8" s="496"/>
      <c r="H8" s="497"/>
      <c r="I8" s="497"/>
      <c r="J8" s="498"/>
      <c r="K8" s="505">
        <f>IF(C8&gt;G8,C8-G8,0)</f>
        <v>0</v>
      </c>
      <c r="L8" s="503"/>
      <c r="M8" s="503"/>
      <c r="N8" s="504"/>
      <c r="O8" s="502">
        <f>IF(G8&gt;C8,G8-C8,0)</f>
        <v>0</v>
      </c>
      <c r="P8" s="503"/>
      <c r="Q8" s="503"/>
      <c r="R8" s="504"/>
      <c r="S8" s="32"/>
      <c r="T8" s="483" t="str">
        <f>IF(G8-C8=C9-G9+C10-G10," ","مغایرت مانده اعتبار مصوب و تخصیص اعتبار بامانده دستگاه اجرایی")</f>
        <v xml:space="preserve"> </v>
      </c>
      <c r="U8" s="483"/>
      <c r="V8" s="483"/>
      <c r="W8" s="483"/>
      <c r="X8" s="483"/>
      <c r="Y8" s="483"/>
      <c r="Z8" s="483"/>
      <c r="AA8" s="483"/>
      <c r="AB8" s="160"/>
      <c r="AC8" s="160"/>
      <c r="AD8" s="161"/>
      <c r="AE8" s="161"/>
      <c r="AF8" s="161"/>
    </row>
    <row r="9" spans="1:32" ht="30.75" customHeight="1">
      <c r="A9" s="141">
        <v>10102</v>
      </c>
      <c r="B9" s="133" t="s">
        <v>125</v>
      </c>
      <c r="C9" s="496"/>
      <c r="D9" s="497"/>
      <c r="E9" s="497"/>
      <c r="F9" s="498"/>
      <c r="G9" s="496"/>
      <c r="H9" s="497"/>
      <c r="I9" s="497"/>
      <c r="J9" s="498"/>
      <c r="K9" s="505">
        <f>IF(C9&gt;G9,C9-G9,0)</f>
        <v>0</v>
      </c>
      <c r="L9" s="503"/>
      <c r="M9" s="503"/>
      <c r="N9" s="504"/>
      <c r="O9" s="502">
        <f>IF(G9&gt;C9,G9-C9,0)</f>
        <v>0</v>
      </c>
      <c r="P9" s="503"/>
      <c r="Q9" s="503"/>
      <c r="R9" s="504"/>
      <c r="S9" s="32"/>
      <c r="T9" s="492"/>
      <c r="U9" s="492"/>
      <c r="V9" s="492"/>
      <c r="W9" s="492"/>
      <c r="X9" s="492"/>
      <c r="Y9" s="492"/>
      <c r="Z9" s="492"/>
      <c r="AA9" s="492"/>
      <c r="AB9" s="160"/>
      <c r="AC9" s="160"/>
      <c r="AD9" s="161"/>
      <c r="AE9" s="161"/>
      <c r="AF9" s="161"/>
    </row>
    <row r="10" spans="1:32" ht="30.75" customHeight="1">
      <c r="A10" s="141">
        <v>10103</v>
      </c>
      <c r="B10" s="133" t="s">
        <v>126</v>
      </c>
      <c r="C10" s="496"/>
      <c r="D10" s="497"/>
      <c r="E10" s="497"/>
      <c r="F10" s="498"/>
      <c r="G10" s="496"/>
      <c r="H10" s="497"/>
      <c r="I10" s="497"/>
      <c r="J10" s="498"/>
      <c r="K10" s="505">
        <f t="shared" ref="K10:K53" si="0">IF(C10&gt;G10,C10-G10,0)</f>
        <v>0</v>
      </c>
      <c r="L10" s="503"/>
      <c r="M10" s="503"/>
      <c r="N10" s="504"/>
      <c r="O10" s="502">
        <f t="shared" ref="O10:O53" si="1">IF(G10&gt;C10,G10-C10,0)</f>
        <v>0</v>
      </c>
      <c r="P10" s="503"/>
      <c r="Q10" s="503"/>
      <c r="R10" s="504"/>
      <c r="S10" s="32"/>
      <c r="T10" s="492"/>
      <c r="U10" s="492"/>
      <c r="V10" s="492"/>
      <c r="W10" s="492"/>
      <c r="X10" s="492"/>
      <c r="Y10" s="492"/>
      <c r="Z10" s="492"/>
      <c r="AA10" s="492"/>
      <c r="AB10" s="160"/>
      <c r="AC10" s="160"/>
      <c r="AD10" s="161"/>
      <c r="AE10" s="161"/>
      <c r="AF10" s="161"/>
    </row>
    <row r="11" spans="1:32" ht="30.75" customHeight="1">
      <c r="A11" s="141">
        <v>10104</v>
      </c>
      <c r="B11" s="133" t="s">
        <v>15</v>
      </c>
      <c r="C11" s="496"/>
      <c r="D11" s="497"/>
      <c r="E11" s="497"/>
      <c r="F11" s="498"/>
      <c r="G11" s="496"/>
      <c r="H11" s="497"/>
      <c r="I11" s="497"/>
      <c r="J11" s="498"/>
      <c r="K11" s="505">
        <f t="shared" si="0"/>
        <v>0</v>
      </c>
      <c r="L11" s="503"/>
      <c r="M11" s="503"/>
      <c r="N11" s="504"/>
      <c r="O11" s="502">
        <f t="shared" si="1"/>
        <v>0</v>
      </c>
      <c r="P11" s="503"/>
      <c r="Q11" s="503"/>
      <c r="R11" s="504"/>
      <c r="S11" s="32"/>
      <c r="T11" s="492"/>
      <c r="U11" s="492"/>
      <c r="V11" s="492"/>
      <c r="W11" s="492"/>
      <c r="X11" s="492"/>
      <c r="Y11" s="492"/>
      <c r="Z11" s="492"/>
      <c r="AA11" s="492"/>
      <c r="AB11" s="160"/>
      <c r="AC11" s="160"/>
      <c r="AD11" s="161"/>
      <c r="AE11" s="161"/>
      <c r="AF11" s="161"/>
    </row>
    <row r="12" spans="1:32" ht="30.75" customHeight="1">
      <c r="A12" s="141">
        <v>10105</v>
      </c>
      <c r="B12" s="133" t="s">
        <v>128</v>
      </c>
      <c r="C12" s="496"/>
      <c r="D12" s="497"/>
      <c r="E12" s="497"/>
      <c r="F12" s="498"/>
      <c r="G12" s="496"/>
      <c r="H12" s="497"/>
      <c r="I12" s="497"/>
      <c r="J12" s="498"/>
      <c r="K12" s="505">
        <f t="shared" si="0"/>
        <v>0</v>
      </c>
      <c r="L12" s="503"/>
      <c r="M12" s="503"/>
      <c r="N12" s="504"/>
      <c r="O12" s="502">
        <f t="shared" si="1"/>
        <v>0</v>
      </c>
      <c r="P12" s="503"/>
      <c r="Q12" s="503"/>
      <c r="R12" s="504"/>
      <c r="S12" s="32"/>
      <c r="T12" s="492"/>
      <c r="U12" s="492"/>
      <c r="V12" s="492"/>
      <c r="W12" s="492"/>
      <c r="X12" s="492"/>
      <c r="Y12" s="492"/>
      <c r="Z12" s="492"/>
      <c r="AA12" s="492"/>
      <c r="AB12" s="160"/>
      <c r="AC12" s="160"/>
      <c r="AD12" s="161"/>
      <c r="AE12" s="161"/>
      <c r="AF12" s="161"/>
    </row>
    <row r="13" spans="1:32" ht="30.75" customHeight="1">
      <c r="A13" s="141">
        <v>10106</v>
      </c>
      <c r="B13" s="133" t="s">
        <v>129</v>
      </c>
      <c r="C13" s="496"/>
      <c r="D13" s="497"/>
      <c r="E13" s="497"/>
      <c r="F13" s="498"/>
      <c r="G13" s="496"/>
      <c r="H13" s="497"/>
      <c r="I13" s="497"/>
      <c r="J13" s="498"/>
      <c r="K13" s="505">
        <f t="shared" si="0"/>
        <v>0</v>
      </c>
      <c r="L13" s="503"/>
      <c r="M13" s="503"/>
      <c r="N13" s="504"/>
      <c r="O13" s="502">
        <f t="shared" si="1"/>
        <v>0</v>
      </c>
      <c r="P13" s="503"/>
      <c r="Q13" s="503"/>
      <c r="R13" s="504"/>
      <c r="S13" s="32"/>
      <c r="T13" s="492"/>
      <c r="U13" s="492"/>
      <c r="V13" s="492"/>
      <c r="W13" s="492"/>
      <c r="X13" s="492"/>
      <c r="Y13" s="492"/>
      <c r="Z13" s="492"/>
      <c r="AA13" s="492"/>
      <c r="AB13" s="160"/>
      <c r="AC13" s="160"/>
      <c r="AD13" s="161"/>
      <c r="AE13" s="161"/>
      <c r="AF13" s="161"/>
    </row>
    <row r="14" spans="1:32" ht="30.75" customHeight="1">
      <c r="A14" s="141">
        <v>10107</v>
      </c>
      <c r="B14" s="133" t="s">
        <v>130</v>
      </c>
      <c r="C14" s="496"/>
      <c r="D14" s="497"/>
      <c r="E14" s="497"/>
      <c r="F14" s="498"/>
      <c r="G14" s="496"/>
      <c r="H14" s="497"/>
      <c r="I14" s="497"/>
      <c r="J14" s="498"/>
      <c r="K14" s="505">
        <f t="shared" si="0"/>
        <v>0</v>
      </c>
      <c r="L14" s="503"/>
      <c r="M14" s="503"/>
      <c r="N14" s="504"/>
      <c r="O14" s="502">
        <f t="shared" si="1"/>
        <v>0</v>
      </c>
      <c r="P14" s="503"/>
      <c r="Q14" s="503"/>
      <c r="R14" s="504"/>
      <c r="S14" s="32"/>
      <c r="T14" s="483" t="str">
        <f>IF(G14-C14=C16-G16," "," مغایرت مانده تنخواه گردان حسابداری با مانده بانک پرداخت اعتبارات اعتبارات هزینه")</f>
        <v xml:space="preserve"> </v>
      </c>
      <c r="U14" s="483"/>
      <c r="V14" s="483"/>
      <c r="W14" s="483"/>
      <c r="X14" s="483"/>
      <c r="Y14" s="483"/>
      <c r="Z14" s="483"/>
      <c r="AA14" s="483"/>
      <c r="AB14" s="160"/>
      <c r="AC14" s="160"/>
      <c r="AD14" s="161"/>
      <c r="AE14" s="161"/>
      <c r="AF14" s="161"/>
    </row>
    <row r="15" spans="1:32" ht="30.75" customHeight="1">
      <c r="A15" s="141">
        <v>10108</v>
      </c>
      <c r="B15" s="133" t="s">
        <v>131</v>
      </c>
      <c r="C15" s="496"/>
      <c r="D15" s="497"/>
      <c r="E15" s="497"/>
      <c r="F15" s="498"/>
      <c r="G15" s="496"/>
      <c r="H15" s="497"/>
      <c r="I15" s="497"/>
      <c r="J15" s="498"/>
      <c r="K15" s="505">
        <f t="shared" si="0"/>
        <v>0</v>
      </c>
      <c r="L15" s="503"/>
      <c r="M15" s="503"/>
      <c r="N15" s="504"/>
      <c r="O15" s="502">
        <f t="shared" si="1"/>
        <v>0</v>
      </c>
      <c r="P15" s="503"/>
      <c r="Q15" s="503"/>
      <c r="R15" s="504"/>
      <c r="S15" s="32"/>
      <c r="T15" s="509"/>
      <c r="U15" s="509"/>
      <c r="V15" s="509"/>
      <c r="W15" s="509"/>
      <c r="X15" s="509"/>
      <c r="Y15" s="509"/>
      <c r="Z15" s="509"/>
      <c r="AA15" s="509"/>
      <c r="AB15" s="160"/>
      <c r="AC15" s="160"/>
      <c r="AD15" s="161"/>
      <c r="AE15" s="161"/>
      <c r="AF15" s="161"/>
    </row>
    <row r="16" spans="1:32" ht="30.75" customHeight="1">
      <c r="A16" s="141">
        <v>10109</v>
      </c>
      <c r="B16" s="133" t="s">
        <v>132</v>
      </c>
      <c r="C16" s="496"/>
      <c r="D16" s="497"/>
      <c r="E16" s="497"/>
      <c r="F16" s="498"/>
      <c r="G16" s="496"/>
      <c r="H16" s="497"/>
      <c r="I16" s="497"/>
      <c r="J16" s="498"/>
      <c r="K16" s="505">
        <f t="shared" si="0"/>
        <v>0</v>
      </c>
      <c r="L16" s="503"/>
      <c r="M16" s="503"/>
      <c r="N16" s="504"/>
      <c r="O16" s="502">
        <f t="shared" si="1"/>
        <v>0</v>
      </c>
      <c r="P16" s="503"/>
      <c r="Q16" s="503"/>
      <c r="R16" s="504"/>
      <c r="S16" s="32"/>
      <c r="T16" s="483"/>
      <c r="U16" s="483"/>
      <c r="V16" s="483"/>
      <c r="W16" s="483"/>
      <c r="X16" s="483"/>
      <c r="Y16" s="483"/>
      <c r="Z16" s="483"/>
      <c r="AA16" s="483"/>
      <c r="AB16" s="160"/>
      <c r="AC16" s="160"/>
      <c r="AD16" s="161"/>
      <c r="AE16" s="161"/>
      <c r="AF16" s="161"/>
    </row>
    <row r="17" spans="1:32" ht="30.75" customHeight="1">
      <c r="A17" s="141">
        <v>10110</v>
      </c>
      <c r="B17" s="133" t="s">
        <v>133</v>
      </c>
      <c r="C17" s="496"/>
      <c r="D17" s="497"/>
      <c r="E17" s="497"/>
      <c r="F17" s="498"/>
      <c r="G17" s="496"/>
      <c r="H17" s="497"/>
      <c r="I17" s="497"/>
      <c r="J17" s="498"/>
      <c r="K17" s="505">
        <f t="shared" si="0"/>
        <v>0</v>
      </c>
      <c r="L17" s="503"/>
      <c r="M17" s="503"/>
      <c r="N17" s="504"/>
      <c r="O17" s="502">
        <f t="shared" si="1"/>
        <v>0</v>
      </c>
      <c r="P17" s="503"/>
      <c r="Q17" s="503"/>
      <c r="R17" s="504"/>
      <c r="S17" s="32"/>
      <c r="T17" s="483" t="str">
        <f>IF(C17-G17=K20+K21," "," مغایرت مانده تامین اعتبار با مانده پرداخت های غیر قطعی(پیش پرداخت ،علی الحساب و . . .)")</f>
        <v xml:space="preserve"> </v>
      </c>
      <c r="U17" s="483"/>
      <c r="V17" s="483"/>
      <c r="W17" s="483"/>
      <c r="X17" s="483"/>
      <c r="Y17" s="483"/>
      <c r="Z17" s="483"/>
      <c r="AA17" s="483"/>
      <c r="AB17" s="483"/>
      <c r="AC17" s="160"/>
      <c r="AD17" s="161"/>
      <c r="AE17" s="161"/>
      <c r="AF17" s="161"/>
    </row>
    <row r="18" spans="1:32" ht="30.75" customHeight="1">
      <c r="A18" s="141">
        <v>10111</v>
      </c>
      <c r="B18" s="133" t="s">
        <v>134</v>
      </c>
      <c r="C18" s="496"/>
      <c r="D18" s="497"/>
      <c r="E18" s="497"/>
      <c r="F18" s="498"/>
      <c r="G18" s="496"/>
      <c r="H18" s="497"/>
      <c r="I18" s="497"/>
      <c r="J18" s="498"/>
      <c r="K18" s="505">
        <f t="shared" si="0"/>
        <v>0</v>
      </c>
      <c r="L18" s="503"/>
      <c r="M18" s="503"/>
      <c r="N18" s="504"/>
      <c r="O18" s="502">
        <f t="shared" si="1"/>
        <v>0</v>
      </c>
      <c r="P18" s="503"/>
      <c r="Q18" s="503"/>
      <c r="R18" s="504"/>
      <c r="S18" s="32"/>
      <c r="T18" s="508" t="str">
        <f>IF(G18-C18=C17-G17," ","مغایرت مانده ذخیره تامین اعتبار استانی با مانده تامین اعتبار استانی")</f>
        <v xml:space="preserve"> </v>
      </c>
      <c r="U18" s="508"/>
      <c r="V18" s="508"/>
      <c r="W18" s="508"/>
      <c r="X18" s="508"/>
      <c r="Y18" s="508"/>
      <c r="Z18" s="508"/>
      <c r="AA18" s="508"/>
      <c r="AB18" s="508"/>
      <c r="AC18" s="160"/>
      <c r="AD18" s="161"/>
      <c r="AE18" s="161"/>
      <c r="AF18" s="161"/>
    </row>
    <row r="19" spans="1:32" ht="30.75" customHeight="1">
      <c r="A19" s="141">
        <v>10112</v>
      </c>
      <c r="B19" s="133" t="s">
        <v>135</v>
      </c>
      <c r="C19" s="496"/>
      <c r="D19" s="497"/>
      <c r="E19" s="497"/>
      <c r="F19" s="498"/>
      <c r="G19" s="496"/>
      <c r="H19" s="497"/>
      <c r="I19" s="497"/>
      <c r="J19" s="498"/>
      <c r="K19" s="505">
        <f t="shared" si="0"/>
        <v>0</v>
      </c>
      <c r="L19" s="503"/>
      <c r="M19" s="503"/>
      <c r="N19" s="504"/>
      <c r="O19" s="502">
        <f t="shared" si="1"/>
        <v>0</v>
      </c>
      <c r="P19" s="503"/>
      <c r="Q19" s="503"/>
      <c r="R19" s="504"/>
      <c r="S19" s="32"/>
      <c r="T19" s="483" t="str">
        <f>IF(C19-G19=0," "," تنخواه گردان پرداخت در پایان سال مالی باید تسویه گردد")</f>
        <v xml:space="preserve"> </v>
      </c>
      <c r="U19" s="483"/>
      <c r="V19" s="483"/>
      <c r="W19" s="483"/>
      <c r="X19" s="483"/>
      <c r="Y19" s="483"/>
      <c r="Z19" s="509"/>
      <c r="AA19" s="509"/>
      <c r="AB19" s="160"/>
      <c r="AC19" s="160"/>
      <c r="AD19" s="161"/>
      <c r="AE19" s="161"/>
      <c r="AF19" s="161"/>
    </row>
    <row r="20" spans="1:32" ht="30.75" customHeight="1">
      <c r="A20" s="141">
        <v>10113</v>
      </c>
      <c r="B20" s="133" t="s">
        <v>136</v>
      </c>
      <c r="C20" s="496"/>
      <c r="D20" s="497"/>
      <c r="E20" s="497"/>
      <c r="F20" s="498"/>
      <c r="G20" s="496"/>
      <c r="H20" s="497"/>
      <c r="I20" s="497"/>
      <c r="J20" s="498"/>
      <c r="K20" s="505">
        <f t="shared" si="0"/>
        <v>0</v>
      </c>
      <c r="L20" s="503"/>
      <c r="M20" s="503"/>
      <c r="N20" s="504"/>
      <c r="O20" s="502">
        <f t="shared" si="1"/>
        <v>0</v>
      </c>
      <c r="P20" s="503"/>
      <c r="Q20" s="503"/>
      <c r="R20" s="504"/>
      <c r="S20" s="32"/>
      <c r="T20" s="492"/>
      <c r="U20" s="492"/>
      <c r="V20" s="492"/>
      <c r="W20" s="492"/>
      <c r="X20" s="492"/>
      <c r="Y20" s="492"/>
      <c r="Z20" s="492"/>
      <c r="AA20" s="492"/>
      <c r="AB20" s="160"/>
      <c r="AC20" s="160"/>
      <c r="AD20" s="161"/>
      <c r="AE20" s="161"/>
      <c r="AF20" s="161"/>
    </row>
    <row r="21" spans="1:32" ht="30.75" customHeight="1">
      <c r="A21" s="141">
        <v>10114</v>
      </c>
      <c r="B21" s="133" t="s">
        <v>137</v>
      </c>
      <c r="C21" s="496"/>
      <c r="D21" s="497"/>
      <c r="E21" s="497"/>
      <c r="F21" s="498"/>
      <c r="G21" s="496"/>
      <c r="H21" s="497"/>
      <c r="I21" s="497"/>
      <c r="J21" s="498"/>
      <c r="K21" s="505">
        <f t="shared" si="0"/>
        <v>0</v>
      </c>
      <c r="L21" s="503"/>
      <c r="M21" s="503"/>
      <c r="N21" s="504"/>
      <c r="O21" s="502">
        <f t="shared" si="1"/>
        <v>0</v>
      </c>
      <c r="P21" s="503"/>
      <c r="Q21" s="503"/>
      <c r="R21" s="504"/>
      <c r="S21" s="32"/>
      <c r="T21" s="492"/>
      <c r="U21" s="492"/>
      <c r="V21" s="492"/>
      <c r="W21" s="492"/>
      <c r="X21" s="492"/>
      <c r="Y21" s="492"/>
      <c r="Z21" s="492"/>
      <c r="AA21" s="492"/>
      <c r="AB21" s="160"/>
      <c r="AC21" s="160"/>
      <c r="AD21" s="161"/>
      <c r="AE21" s="161"/>
      <c r="AF21" s="161"/>
    </row>
    <row r="22" spans="1:32" ht="30.75" customHeight="1">
      <c r="A22" s="141">
        <v>10115</v>
      </c>
      <c r="B22" s="133" t="s">
        <v>138</v>
      </c>
      <c r="C22" s="496"/>
      <c r="D22" s="497"/>
      <c r="E22" s="497"/>
      <c r="F22" s="498"/>
      <c r="G22" s="496"/>
      <c r="H22" s="497"/>
      <c r="I22" s="497"/>
      <c r="J22" s="498"/>
      <c r="K22" s="505">
        <f t="shared" si="0"/>
        <v>0</v>
      </c>
      <c r="L22" s="503"/>
      <c r="M22" s="503"/>
      <c r="N22" s="504"/>
      <c r="O22" s="502">
        <f t="shared" si="1"/>
        <v>0</v>
      </c>
      <c r="P22" s="503"/>
      <c r="Q22" s="503"/>
      <c r="R22" s="504"/>
      <c r="S22" s="32"/>
      <c r="T22" s="492"/>
      <c r="U22" s="492"/>
      <c r="V22" s="492"/>
      <c r="W22" s="492"/>
      <c r="X22" s="492"/>
      <c r="Y22" s="492"/>
      <c r="Z22" s="492"/>
      <c r="AA22" s="492"/>
      <c r="AB22" s="160"/>
      <c r="AC22" s="160"/>
      <c r="AD22" s="161"/>
      <c r="AE22" s="161"/>
      <c r="AF22" s="161"/>
    </row>
    <row r="23" spans="1:32" ht="30.75" customHeight="1">
      <c r="A23" s="141">
        <v>10116</v>
      </c>
      <c r="B23" s="133" t="s">
        <v>139</v>
      </c>
      <c r="C23" s="496"/>
      <c r="D23" s="497"/>
      <c r="E23" s="497"/>
      <c r="F23" s="498"/>
      <c r="G23" s="496"/>
      <c r="H23" s="497"/>
      <c r="I23" s="497"/>
      <c r="J23" s="498"/>
      <c r="K23" s="505">
        <f t="shared" si="0"/>
        <v>0</v>
      </c>
      <c r="L23" s="503"/>
      <c r="M23" s="503"/>
      <c r="N23" s="504"/>
      <c r="O23" s="502">
        <f t="shared" si="1"/>
        <v>0</v>
      </c>
      <c r="P23" s="503"/>
      <c r="Q23" s="503"/>
      <c r="R23" s="504"/>
      <c r="S23" s="32"/>
      <c r="T23" s="492"/>
      <c r="U23" s="492"/>
      <c r="V23" s="492"/>
      <c r="W23" s="492"/>
      <c r="X23" s="492"/>
      <c r="Y23" s="492"/>
      <c r="Z23" s="492"/>
      <c r="AA23" s="492"/>
      <c r="AB23" s="160"/>
      <c r="AC23" s="160"/>
      <c r="AD23" s="161"/>
      <c r="AE23" s="161"/>
      <c r="AF23" s="161"/>
    </row>
    <row r="24" spans="1:32" ht="30.75" customHeight="1">
      <c r="A24" s="141">
        <v>10117</v>
      </c>
      <c r="B24" s="133" t="s">
        <v>140</v>
      </c>
      <c r="C24" s="496"/>
      <c r="D24" s="497"/>
      <c r="E24" s="497"/>
      <c r="F24" s="498"/>
      <c r="G24" s="496"/>
      <c r="H24" s="497"/>
      <c r="I24" s="497"/>
      <c r="J24" s="498"/>
      <c r="K24" s="505">
        <f t="shared" si="0"/>
        <v>0</v>
      </c>
      <c r="L24" s="503"/>
      <c r="M24" s="503"/>
      <c r="N24" s="504"/>
      <c r="O24" s="502">
        <f t="shared" si="1"/>
        <v>0</v>
      </c>
      <c r="P24" s="503"/>
      <c r="Q24" s="503"/>
      <c r="R24" s="504"/>
      <c r="S24" s="32"/>
      <c r="T24" s="492"/>
      <c r="U24" s="492"/>
      <c r="V24" s="492"/>
      <c r="W24" s="492"/>
      <c r="X24" s="492"/>
      <c r="Y24" s="492"/>
      <c r="Z24" s="492"/>
      <c r="AA24" s="492"/>
      <c r="AB24" s="160"/>
      <c r="AC24" s="160"/>
      <c r="AD24" s="161"/>
      <c r="AE24" s="161"/>
      <c r="AF24" s="161"/>
    </row>
    <row r="25" spans="1:32" ht="30.75" customHeight="1">
      <c r="A25" s="141">
        <v>10118</v>
      </c>
      <c r="B25" s="133" t="s">
        <v>141</v>
      </c>
      <c r="C25" s="496"/>
      <c r="D25" s="497"/>
      <c r="E25" s="497"/>
      <c r="F25" s="498"/>
      <c r="G25" s="496"/>
      <c r="H25" s="497"/>
      <c r="I25" s="497"/>
      <c r="J25" s="498"/>
      <c r="K25" s="505">
        <f t="shared" si="0"/>
        <v>0</v>
      </c>
      <c r="L25" s="503"/>
      <c r="M25" s="503"/>
      <c r="N25" s="504"/>
      <c r="O25" s="502">
        <f t="shared" si="1"/>
        <v>0</v>
      </c>
      <c r="P25" s="503"/>
      <c r="Q25" s="503"/>
      <c r="R25" s="504"/>
      <c r="S25" s="32"/>
      <c r="T25" s="492"/>
      <c r="U25" s="492"/>
      <c r="V25" s="492"/>
      <c r="W25" s="492"/>
      <c r="X25" s="492"/>
      <c r="Y25" s="492"/>
      <c r="Z25" s="492"/>
      <c r="AA25" s="492"/>
      <c r="AB25" s="160"/>
      <c r="AC25" s="160"/>
      <c r="AD25" s="161"/>
      <c r="AE25" s="161"/>
      <c r="AF25" s="161"/>
    </row>
    <row r="26" spans="1:32" ht="30.75" customHeight="1">
      <c r="A26" s="141">
        <v>10119</v>
      </c>
      <c r="B26" s="133" t="s">
        <v>142</v>
      </c>
      <c r="C26" s="496"/>
      <c r="D26" s="497"/>
      <c r="E26" s="497"/>
      <c r="F26" s="498"/>
      <c r="G26" s="496"/>
      <c r="H26" s="497"/>
      <c r="I26" s="497"/>
      <c r="J26" s="498"/>
      <c r="K26" s="505">
        <f t="shared" si="0"/>
        <v>0</v>
      </c>
      <c r="L26" s="503"/>
      <c r="M26" s="503"/>
      <c r="N26" s="504"/>
      <c r="O26" s="502">
        <f t="shared" si="1"/>
        <v>0</v>
      </c>
      <c r="P26" s="503"/>
      <c r="Q26" s="503"/>
      <c r="R26" s="504"/>
      <c r="S26" s="32"/>
      <c r="T26" s="492"/>
      <c r="U26" s="492"/>
      <c r="V26" s="492"/>
      <c r="W26" s="492"/>
      <c r="X26" s="492"/>
      <c r="Y26" s="492"/>
      <c r="Z26" s="492"/>
      <c r="AA26" s="492"/>
      <c r="AB26" s="160"/>
      <c r="AC26" s="160"/>
      <c r="AD26" s="161"/>
      <c r="AE26" s="161"/>
      <c r="AF26" s="161"/>
    </row>
    <row r="27" spans="1:32" ht="30.75" customHeight="1">
      <c r="A27" s="141">
        <v>10120</v>
      </c>
      <c r="B27" s="133" t="s">
        <v>143</v>
      </c>
      <c r="C27" s="496"/>
      <c r="D27" s="497"/>
      <c r="E27" s="497"/>
      <c r="F27" s="498"/>
      <c r="G27" s="496"/>
      <c r="H27" s="497"/>
      <c r="I27" s="497"/>
      <c r="J27" s="498"/>
      <c r="K27" s="505">
        <f t="shared" si="0"/>
        <v>0</v>
      </c>
      <c r="L27" s="503"/>
      <c r="M27" s="503"/>
      <c r="N27" s="504"/>
      <c r="O27" s="502">
        <f t="shared" si="1"/>
        <v>0</v>
      </c>
      <c r="P27" s="503"/>
      <c r="Q27" s="503"/>
      <c r="R27" s="504"/>
      <c r="S27" s="32"/>
      <c r="T27" s="492"/>
      <c r="U27" s="492"/>
      <c r="V27" s="492"/>
      <c r="W27" s="492"/>
      <c r="X27" s="492"/>
      <c r="Y27" s="492"/>
      <c r="Z27" s="492"/>
      <c r="AA27" s="492"/>
      <c r="AB27" s="160"/>
      <c r="AC27" s="160"/>
      <c r="AD27" s="161"/>
      <c r="AE27" s="161"/>
      <c r="AF27" s="161"/>
    </row>
    <row r="28" spans="1:32" ht="30.75" customHeight="1">
      <c r="A28" s="141">
        <v>10121</v>
      </c>
      <c r="B28" s="133" t="s">
        <v>144</v>
      </c>
      <c r="C28" s="496"/>
      <c r="D28" s="497"/>
      <c r="E28" s="497"/>
      <c r="F28" s="498"/>
      <c r="G28" s="496"/>
      <c r="H28" s="497"/>
      <c r="I28" s="497"/>
      <c r="J28" s="498"/>
      <c r="K28" s="505">
        <f t="shared" si="0"/>
        <v>0</v>
      </c>
      <c r="L28" s="503"/>
      <c r="M28" s="503"/>
      <c r="N28" s="504"/>
      <c r="O28" s="502">
        <f t="shared" si="1"/>
        <v>0</v>
      </c>
      <c r="P28" s="503"/>
      <c r="Q28" s="503"/>
      <c r="R28" s="504"/>
      <c r="S28" s="32"/>
      <c r="T28" s="492"/>
      <c r="U28" s="492"/>
      <c r="V28" s="492"/>
      <c r="W28" s="492"/>
      <c r="X28" s="492"/>
      <c r="Y28" s="492"/>
      <c r="Z28" s="492"/>
      <c r="AA28" s="492"/>
      <c r="AB28" s="160"/>
      <c r="AC28" s="160"/>
      <c r="AD28" s="161"/>
      <c r="AE28" s="161"/>
      <c r="AF28" s="161"/>
    </row>
    <row r="29" spans="1:32" ht="30.75" customHeight="1">
      <c r="A29" s="141">
        <v>10122</v>
      </c>
      <c r="B29" s="133" t="s">
        <v>145</v>
      </c>
      <c r="C29" s="496"/>
      <c r="D29" s="497"/>
      <c r="E29" s="497"/>
      <c r="F29" s="498"/>
      <c r="G29" s="496"/>
      <c r="H29" s="497"/>
      <c r="I29" s="497"/>
      <c r="J29" s="498"/>
      <c r="K29" s="505">
        <f t="shared" si="0"/>
        <v>0</v>
      </c>
      <c r="L29" s="503"/>
      <c r="M29" s="503"/>
      <c r="N29" s="504"/>
      <c r="O29" s="502">
        <f t="shared" si="1"/>
        <v>0</v>
      </c>
      <c r="P29" s="503"/>
      <c r="Q29" s="503"/>
      <c r="R29" s="504"/>
      <c r="S29" s="32"/>
      <c r="T29" s="483" t="str">
        <f>IF(G29-C29=K20+K21+K22+K23+K24+K25+K44+K45+K46," ","مغایرت مانده کنترل تخصیص اعتبار با مانده پرداخت های قطعی و غیرقطعی ")</f>
        <v xml:space="preserve"> </v>
      </c>
      <c r="U29" s="483"/>
      <c r="V29" s="483"/>
      <c r="W29" s="483"/>
      <c r="X29" s="483"/>
      <c r="Y29" s="483"/>
      <c r="Z29" s="483"/>
      <c r="AA29" s="483"/>
      <c r="AB29" s="160"/>
      <c r="AC29" s="160"/>
      <c r="AD29" s="161"/>
      <c r="AE29" s="161"/>
      <c r="AF29" s="161"/>
    </row>
    <row r="30" spans="1:32" ht="30.75" customHeight="1">
      <c r="A30" s="141">
        <v>10123</v>
      </c>
      <c r="B30" s="133" t="s">
        <v>146</v>
      </c>
      <c r="C30" s="496"/>
      <c r="D30" s="497"/>
      <c r="E30" s="497"/>
      <c r="F30" s="498"/>
      <c r="G30" s="496"/>
      <c r="H30" s="497"/>
      <c r="I30" s="497"/>
      <c r="J30" s="498"/>
      <c r="K30" s="505">
        <f t="shared" si="0"/>
        <v>0</v>
      </c>
      <c r="L30" s="503"/>
      <c r="M30" s="503"/>
      <c r="N30" s="504"/>
      <c r="O30" s="502">
        <f t="shared" si="1"/>
        <v>0</v>
      </c>
      <c r="P30" s="503"/>
      <c r="Q30" s="503"/>
      <c r="R30" s="504"/>
      <c r="S30" s="32"/>
      <c r="T30" s="492"/>
      <c r="U30" s="492"/>
      <c r="V30" s="492"/>
      <c r="W30" s="492"/>
      <c r="X30" s="492"/>
      <c r="Y30" s="492"/>
      <c r="Z30" s="492"/>
      <c r="AA30" s="492"/>
      <c r="AB30" s="160"/>
      <c r="AC30" s="160"/>
      <c r="AD30" s="161"/>
      <c r="AE30" s="161"/>
      <c r="AF30" s="161"/>
    </row>
    <row r="31" spans="1:32" ht="30.75" customHeight="1">
      <c r="A31" s="141">
        <v>10124</v>
      </c>
      <c r="B31" s="133" t="s">
        <v>147</v>
      </c>
      <c r="C31" s="496"/>
      <c r="D31" s="497"/>
      <c r="E31" s="497"/>
      <c r="F31" s="498"/>
      <c r="G31" s="496"/>
      <c r="H31" s="497"/>
      <c r="I31" s="497"/>
      <c r="J31" s="498"/>
      <c r="K31" s="505">
        <f t="shared" si="0"/>
        <v>0</v>
      </c>
      <c r="L31" s="503"/>
      <c r="M31" s="503"/>
      <c r="N31" s="504"/>
      <c r="O31" s="502">
        <f t="shared" si="1"/>
        <v>0</v>
      </c>
      <c r="P31" s="503"/>
      <c r="Q31" s="503"/>
      <c r="R31" s="504"/>
      <c r="S31" s="32"/>
      <c r="T31" s="492"/>
      <c r="U31" s="492"/>
      <c r="V31" s="492"/>
      <c r="W31" s="492"/>
      <c r="X31" s="492"/>
      <c r="Y31" s="492"/>
      <c r="Z31" s="492"/>
      <c r="AA31" s="492"/>
      <c r="AB31" s="160"/>
      <c r="AC31" s="160"/>
      <c r="AD31" s="161"/>
      <c r="AE31" s="161"/>
      <c r="AF31" s="161"/>
    </row>
    <row r="32" spans="1:32" ht="30.75" customHeight="1">
      <c r="A32" s="141">
        <v>10125</v>
      </c>
      <c r="B32" s="133" t="s">
        <v>148</v>
      </c>
      <c r="C32" s="496"/>
      <c r="D32" s="497"/>
      <c r="E32" s="497"/>
      <c r="F32" s="498"/>
      <c r="G32" s="496"/>
      <c r="H32" s="497"/>
      <c r="I32" s="497"/>
      <c r="J32" s="498"/>
      <c r="K32" s="505">
        <f t="shared" si="0"/>
        <v>0</v>
      </c>
      <c r="L32" s="503"/>
      <c r="M32" s="503"/>
      <c r="N32" s="504"/>
      <c r="O32" s="502">
        <f t="shared" si="1"/>
        <v>0</v>
      </c>
      <c r="P32" s="503"/>
      <c r="Q32" s="503"/>
      <c r="R32" s="504"/>
      <c r="S32" s="32"/>
      <c r="T32" s="492"/>
      <c r="U32" s="492"/>
      <c r="V32" s="492"/>
      <c r="W32" s="492"/>
      <c r="X32" s="492"/>
      <c r="Y32" s="492"/>
      <c r="Z32" s="492"/>
      <c r="AA32" s="492"/>
      <c r="AB32" s="160"/>
      <c r="AC32" s="160"/>
      <c r="AD32" s="161"/>
      <c r="AE32" s="161"/>
      <c r="AF32" s="161"/>
    </row>
    <row r="33" spans="1:32" ht="30.75" customHeight="1">
      <c r="A33" s="141">
        <v>10126</v>
      </c>
      <c r="B33" s="133" t="s">
        <v>149</v>
      </c>
      <c r="C33" s="496"/>
      <c r="D33" s="497"/>
      <c r="E33" s="497"/>
      <c r="F33" s="498"/>
      <c r="G33" s="496"/>
      <c r="H33" s="497"/>
      <c r="I33" s="497"/>
      <c r="J33" s="498"/>
      <c r="K33" s="505">
        <f t="shared" si="0"/>
        <v>0</v>
      </c>
      <c r="L33" s="503"/>
      <c r="M33" s="503"/>
      <c r="N33" s="504"/>
      <c r="O33" s="502">
        <f t="shared" si="1"/>
        <v>0</v>
      </c>
      <c r="P33" s="503"/>
      <c r="Q33" s="503"/>
      <c r="R33" s="504"/>
      <c r="S33" s="32"/>
      <c r="T33" s="492"/>
      <c r="U33" s="492"/>
      <c r="V33" s="492"/>
      <c r="W33" s="492"/>
      <c r="X33" s="492"/>
      <c r="Y33" s="492"/>
      <c r="Z33" s="492"/>
      <c r="AA33" s="492"/>
      <c r="AB33" s="160"/>
      <c r="AC33" s="160"/>
      <c r="AD33" s="161"/>
      <c r="AE33" s="161"/>
      <c r="AF33" s="161"/>
    </row>
    <row r="34" spans="1:32" ht="30.75" customHeight="1">
      <c r="A34" s="141">
        <v>10127</v>
      </c>
      <c r="B34" s="133" t="s">
        <v>150</v>
      </c>
      <c r="C34" s="496"/>
      <c r="D34" s="497"/>
      <c r="E34" s="497"/>
      <c r="F34" s="498"/>
      <c r="G34" s="496"/>
      <c r="H34" s="497"/>
      <c r="I34" s="497"/>
      <c r="J34" s="498"/>
      <c r="K34" s="505">
        <f t="shared" si="0"/>
        <v>0</v>
      </c>
      <c r="L34" s="503"/>
      <c r="M34" s="503"/>
      <c r="N34" s="504"/>
      <c r="O34" s="502">
        <f t="shared" si="1"/>
        <v>0</v>
      </c>
      <c r="P34" s="503"/>
      <c r="Q34" s="503"/>
      <c r="R34" s="504"/>
      <c r="S34" s="32"/>
      <c r="T34" s="492"/>
      <c r="U34" s="492"/>
      <c r="V34" s="492"/>
      <c r="W34" s="492"/>
      <c r="X34" s="492"/>
      <c r="Y34" s="492"/>
      <c r="Z34" s="492"/>
      <c r="AA34" s="492"/>
      <c r="AB34" s="160"/>
      <c r="AC34" s="160"/>
      <c r="AD34" s="161"/>
      <c r="AE34" s="161"/>
      <c r="AF34" s="161"/>
    </row>
    <row r="35" spans="1:32" ht="30.75" customHeight="1">
      <c r="A35" s="141">
        <v>10128</v>
      </c>
      <c r="B35" s="133" t="s">
        <v>151</v>
      </c>
      <c r="C35" s="496"/>
      <c r="D35" s="497"/>
      <c r="E35" s="497"/>
      <c r="F35" s="498"/>
      <c r="G35" s="496"/>
      <c r="H35" s="497"/>
      <c r="I35" s="497"/>
      <c r="J35" s="498"/>
      <c r="K35" s="505">
        <f t="shared" si="0"/>
        <v>0</v>
      </c>
      <c r="L35" s="503"/>
      <c r="M35" s="503"/>
      <c r="N35" s="504"/>
      <c r="O35" s="502">
        <f t="shared" si="1"/>
        <v>0</v>
      </c>
      <c r="P35" s="503"/>
      <c r="Q35" s="503"/>
      <c r="R35" s="504"/>
      <c r="S35" s="32"/>
      <c r="T35" s="492"/>
      <c r="U35" s="492"/>
      <c r="V35" s="492"/>
      <c r="W35" s="492"/>
      <c r="X35" s="492"/>
      <c r="Y35" s="492"/>
      <c r="Z35" s="492"/>
      <c r="AA35" s="492"/>
      <c r="AB35" s="160"/>
      <c r="AC35" s="160"/>
      <c r="AD35" s="161"/>
      <c r="AE35" s="161"/>
      <c r="AF35" s="161"/>
    </row>
    <row r="36" spans="1:32" ht="30.75" customHeight="1">
      <c r="A36" s="141">
        <v>10129</v>
      </c>
      <c r="B36" s="133" t="s">
        <v>152</v>
      </c>
      <c r="C36" s="496"/>
      <c r="D36" s="497"/>
      <c r="E36" s="497"/>
      <c r="F36" s="498"/>
      <c r="G36" s="496"/>
      <c r="H36" s="497"/>
      <c r="I36" s="497"/>
      <c r="J36" s="498"/>
      <c r="K36" s="505">
        <f t="shared" si="0"/>
        <v>0</v>
      </c>
      <c r="L36" s="503"/>
      <c r="M36" s="503"/>
      <c r="N36" s="504"/>
      <c r="O36" s="502">
        <f t="shared" si="1"/>
        <v>0</v>
      </c>
      <c r="P36" s="503"/>
      <c r="Q36" s="503"/>
      <c r="R36" s="504"/>
      <c r="S36" s="32"/>
      <c r="T36" s="492"/>
      <c r="U36" s="492"/>
      <c r="V36" s="492"/>
      <c r="W36" s="492"/>
      <c r="X36" s="492"/>
      <c r="Y36" s="492"/>
      <c r="Z36" s="492"/>
      <c r="AA36" s="492"/>
      <c r="AB36" s="160"/>
      <c r="AC36" s="160"/>
      <c r="AD36" s="161"/>
      <c r="AE36" s="161"/>
      <c r="AF36" s="161"/>
    </row>
    <row r="37" spans="1:32" ht="30.75" customHeight="1">
      <c r="A37" s="141">
        <v>10130</v>
      </c>
      <c r="B37" s="133" t="s">
        <v>153</v>
      </c>
      <c r="C37" s="496"/>
      <c r="D37" s="497"/>
      <c r="E37" s="497"/>
      <c r="F37" s="498"/>
      <c r="G37" s="496"/>
      <c r="H37" s="497"/>
      <c r="I37" s="497"/>
      <c r="J37" s="498"/>
      <c r="K37" s="505">
        <f t="shared" si="0"/>
        <v>0</v>
      </c>
      <c r="L37" s="503"/>
      <c r="M37" s="503"/>
      <c r="N37" s="504"/>
      <c r="O37" s="502">
        <f t="shared" si="1"/>
        <v>0</v>
      </c>
      <c r="P37" s="503"/>
      <c r="Q37" s="503"/>
      <c r="R37" s="504"/>
      <c r="S37" s="32"/>
      <c r="T37" s="492"/>
      <c r="U37" s="492"/>
      <c r="V37" s="492"/>
      <c r="W37" s="492"/>
      <c r="X37" s="492"/>
      <c r="Y37" s="492"/>
      <c r="Z37" s="492"/>
      <c r="AA37" s="492"/>
      <c r="AB37" s="160"/>
      <c r="AC37" s="160"/>
      <c r="AD37" s="161"/>
      <c r="AE37" s="161"/>
      <c r="AF37" s="161"/>
    </row>
    <row r="38" spans="1:32" ht="30.75" customHeight="1">
      <c r="A38" s="141">
        <v>10131</v>
      </c>
      <c r="B38" s="133" t="s">
        <v>154</v>
      </c>
      <c r="C38" s="496"/>
      <c r="D38" s="497"/>
      <c r="E38" s="497"/>
      <c r="F38" s="498"/>
      <c r="G38" s="496"/>
      <c r="H38" s="497"/>
      <c r="I38" s="497"/>
      <c r="J38" s="498"/>
      <c r="K38" s="505">
        <f t="shared" si="0"/>
        <v>0</v>
      </c>
      <c r="L38" s="503"/>
      <c r="M38" s="503"/>
      <c r="N38" s="504"/>
      <c r="O38" s="502">
        <f t="shared" si="1"/>
        <v>0</v>
      </c>
      <c r="P38" s="503"/>
      <c r="Q38" s="503"/>
      <c r="R38" s="504"/>
      <c r="S38" s="32"/>
      <c r="T38" s="492"/>
      <c r="U38" s="492"/>
      <c r="V38" s="492"/>
      <c r="W38" s="492"/>
      <c r="X38" s="492"/>
      <c r="Y38" s="492"/>
      <c r="Z38" s="492"/>
      <c r="AA38" s="492"/>
      <c r="AB38" s="160"/>
      <c r="AC38" s="160"/>
      <c r="AD38" s="161"/>
      <c r="AE38" s="161"/>
      <c r="AF38" s="161"/>
    </row>
    <row r="39" spans="1:32" ht="30.75" customHeight="1">
      <c r="A39" s="141">
        <v>10132</v>
      </c>
      <c r="B39" s="133" t="s">
        <v>155</v>
      </c>
      <c r="C39" s="496"/>
      <c r="D39" s="497"/>
      <c r="E39" s="497"/>
      <c r="F39" s="498"/>
      <c r="G39" s="496"/>
      <c r="H39" s="497"/>
      <c r="I39" s="497"/>
      <c r="J39" s="498"/>
      <c r="K39" s="505">
        <f t="shared" si="0"/>
        <v>0</v>
      </c>
      <c r="L39" s="503"/>
      <c r="M39" s="503"/>
      <c r="N39" s="504"/>
      <c r="O39" s="502">
        <f t="shared" si="1"/>
        <v>0</v>
      </c>
      <c r="P39" s="503"/>
      <c r="Q39" s="503"/>
      <c r="R39" s="504"/>
      <c r="S39" s="32"/>
      <c r="T39" s="492"/>
      <c r="U39" s="492"/>
      <c r="V39" s="492"/>
      <c r="W39" s="492"/>
      <c r="X39" s="492"/>
      <c r="Y39" s="492"/>
      <c r="Z39" s="492"/>
      <c r="AA39" s="492"/>
      <c r="AB39" s="160"/>
      <c r="AC39" s="160"/>
      <c r="AD39" s="161"/>
      <c r="AE39" s="161"/>
      <c r="AF39" s="161"/>
    </row>
    <row r="40" spans="1:32" ht="30.75" customHeight="1">
      <c r="A40" s="141">
        <v>10133</v>
      </c>
      <c r="B40" s="133" t="s">
        <v>156</v>
      </c>
      <c r="C40" s="496"/>
      <c r="D40" s="497"/>
      <c r="E40" s="497"/>
      <c r="F40" s="498"/>
      <c r="G40" s="496"/>
      <c r="H40" s="497"/>
      <c r="I40" s="497"/>
      <c r="J40" s="498"/>
      <c r="K40" s="505">
        <f t="shared" si="0"/>
        <v>0</v>
      </c>
      <c r="L40" s="503"/>
      <c r="M40" s="503"/>
      <c r="N40" s="504"/>
      <c r="O40" s="502">
        <f t="shared" si="1"/>
        <v>0</v>
      </c>
      <c r="P40" s="503"/>
      <c r="Q40" s="503"/>
      <c r="R40" s="504"/>
      <c r="S40" s="32"/>
      <c r="T40" s="492"/>
      <c r="U40" s="492"/>
      <c r="V40" s="492"/>
      <c r="W40" s="492"/>
      <c r="X40" s="492"/>
      <c r="Y40" s="492"/>
      <c r="Z40" s="492"/>
      <c r="AA40" s="492"/>
      <c r="AB40" s="160"/>
      <c r="AC40" s="160"/>
      <c r="AD40" s="161"/>
      <c r="AE40" s="161"/>
      <c r="AF40" s="161"/>
    </row>
    <row r="41" spans="1:32" ht="30.75" customHeight="1">
      <c r="A41" s="141">
        <v>10134</v>
      </c>
      <c r="B41" s="133" t="s">
        <v>157</v>
      </c>
      <c r="C41" s="496"/>
      <c r="D41" s="497"/>
      <c r="E41" s="497"/>
      <c r="F41" s="498"/>
      <c r="G41" s="496"/>
      <c r="H41" s="497"/>
      <c r="I41" s="497"/>
      <c r="J41" s="498"/>
      <c r="K41" s="505">
        <f t="shared" si="0"/>
        <v>0</v>
      </c>
      <c r="L41" s="503"/>
      <c r="M41" s="503"/>
      <c r="N41" s="504"/>
      <c r="O41" s="502">
        <f t="shared" si="1"/>
        <v>0</v>
      </c>
      <c r="P41" s="503"/>
      <c r="Q41" s="503"/>
      <c r="R41" s="504"/>
      <c r="S41" s="32"/>
      <c r="T41" s="492"/>
      <c r="U41" s="492"/>
      <c r="V41" s="492"/>
      <c r="W41" s="492"/>
      <c r="X41" s="492"/>
      <c r="Y41" s="492"/>
      <c r="Z41" s="492"/>
      <c r="AA41" s="492"/>
      <c r="AB41" s="160"/>
      <c r="AC41" s="160"/>
      <c r="AD41" s="161"/>
      <c r="AE41" s="161"/>
      <c r="AF41" s="161"/>
    </row>
    <row r="42" spans="1:32" ht="30.75" customHeight="1">
      <c r="A42" s="141">
        <v>10135</v>
      </c>
      <c r="B42" s="133" t="s">
        <v>158</v>
      </c>
      <c r="C42" s="496"/>
      <c r="D42" s="497"/>
      <c r="E42" s="497"/>
      <c r="F42" s="498"/>
      <c r="G42" s="496"/>
      <c r="H42" s="497"/>
      <c r="I42" s="497"/>
      <c r="J42" s="498"/>
      <c r="K42" s="505">
        <f t="shared" si="0"/>
        <v>0</v>
      </c>
      <c r="L42" s="503"/>
      <c r="M42" s="503"/>
      <c r="N42" s="504"/>
      <c r="O42" s="502">
        <f t="shared" si="1"/>
        <v>0</v>
      </c>
      <c r="P42" s="503"/>
      <c r="Q42" s="503"/>
      <c r="R42" s="504"/>
      <c r="S42" s="32"/>
      <c r="T42" s="492"/>
      <c r="U42" s="492"/>
      <c r="V42" s="492"/>
      <c r="W42" s="492"/>
      <c r="X42" s="492"/>
      <c r="Y42" s="492"/>
      <c r="Z42" s="492"/>
      <c r="AA42" s="492"/>
      <c r="AB42" s="160"/>
      <c r="AC42" s="160"/>
      <c r="AD42" s="161"/>
      <c r="AE42" s="161"/>
      <c r="AF42" s="161"/>
    </row>
    <row r="43" spans="1:32" ht="30.75" customHeight="1">
      <c r="A43" s="141">
        <v>10136</v>
      </c>
      <c r="B43" s="133" t="s">
        <v>159</v>
      </c>
      <c r="C43" s="496"/>
      <c r="D43" s="497"/>
      <c r="E43" s="497"/>
      <c r="F43" s="498"/>
      <c r="G43" s="496"/>
      <c r="H43" s="497"/>
      <c r="I43" s="497"/>
      <c r="J43" s="498"/>
      <c r="K43" s="505">
        <f t="shared" si="0"/>
        <v>0</v>
      </c>
      <c r="L43" s="503"/>
      <c r="M43" s="503"/>
      <c r="N43" s="504"/>
      <c r="O43" s="502">
        <f t="shared" si="1"/>
        <v>0</v>
      </c>
      <c r="P43" s="503"/>
      <c r="Q43" s="503"/>
      <c r="R43" s="504"/>
      <c r="S43" s="32"/>
      <c r="T43" s="492"/>
      <c r="U43" s="492"/>
      <c r="V43" s="492"/>
      <c r="W43" s="492"/>
      <c r="X43" s="492"/>
      <c r="Y43" s="492"/>
      <c r="Z43" s="492"/>
      <c r="AA43" s="492"/>
      <c r="AB43" s="160"/>
      <c r="AC43" s="160"/>
      <c r="AD43" s="161"/>
      <c r="AE43" s="161"/>
      <c r="AF43" s="161"/>
    </row>
    <row r="44" spans="1:32" ht="30.75" customHeight="1">
      <c r="A44" s="141">
        <v>10137</v>
      </c>
      <c r="B44" s="133" t="s">
        <v>160</v>
      </c>
      <c r="C44" s="496"/>
      <c r="D44" s="497"/>
      <c r="E44" s="497"/>
      <c r="F44" s="498"/>
      <c r="G44" s="496"/>
      <c r="H44" s="497"/>
      <c r="I44" s="497"/>
      <c r="J44" s="498"/>
      <c r="K44" s="505">
        <f t="shared" si="0"/>
        <v>0</v>
      </c>
      <c r="L44" s="503"/>
      <c r="M44" s="503"/>
      <c r="N44" s="504"/>
      <c r="O44" s="502">
        <f t="shared" si="1"/>
        <v>0</v>
      </c>
      <c r="P44" s="503"/>
      <c r="Q44" s="503"/>
      <c r="R44" s="504"/>
      <c r="S44" s="32"/>
      <c r="T44" s="492"/>
      <c r="U44" s="492"/>
      <c r="V44" s="492"/>
      <c r="W44" s="492"/>
      <c r="X44" s="492"/>
      <c r="Y44" s="492"/>
      <c r="Z44" s="492"/>
      <c r="AA44" s="492"/>
      <c r="AB44" s="160"/>
      <c r="AC44" s="160"/>
      <c r="AD44" s="161"/>
      <c r="AE44" s="161"/>
      <c r="AF44" s="161"/>
    </row>
    <row r="45" spans="1:32" ht="30.75" customHeight="1">
      <c r="A45" s="141">
        <v>10138</v>
      </c>
      <c r="B45" s="133" t="s">
        <v>161</v>
      </c>
      <c r="C45" s="496"/>
      <c r="D45" s="497"/>
      <c r="E45" s="497"/>
      <c r="F45" s="498"/>
      <c r="G45" s="496"/>
      <c r="H45" s="497"/>
      <c r="I45" s="497"/>
      <c r="J45" s="498"/>
      <c r="K45" s="505">
        <f t="shared" si="0"/>
        <v>0</v>
      </c>
      <c r="L45" s="503"/>
      <c r="M45" s="503"/>
      <c r="N45" s="504"/>
      <c r="O45" s="502">
        <f t="shared" si="1"/>
        <v>0</v>
      </c>
      <c r="P45" s="503"/>
      <c r="Q45" s="503"/>
      <c r="R45" s="504"/>
      <c r="S45" s="32"/>
      <c r="T45" s="492"/>
      <c r="U45" s="492"/>
      <c r="V45" s="492"/>
      <c r="W45" s="492"/>
      <c r="X45" s="492"/>
      <c r="Y45" s="492"/>
      <c r="Z45" s="492"/>
      <c r="AA45" s="492"/>
      <c r="AB45" s="160"/>
      <c r="AC45" s="160"/>
      <c r="AD45" s="161"/>
      <c r="AE45" s="161"/>
      <c r="AF45" s="161"/>
    </row>
    <row r="46" spans="1:32" ht="30.75" customHeight="1">
      <c r="A46" s="141">
        <v>10139</v>
      </c>
      <c r="B46" s="133" t="s">
        <v>162</v>
      </c>
      <c r="C46" s="496"/>
      <c r="D46" s="497"/>
      <c r="E46" s="497"/>
      <c r="F46" s="498"/>
      <c r="G46" s="496"/>
      <c r="H46" s="497"/>
      <c r="I46" s="497"/>
      <c r="J46" s="498"/>
      <c r="K46" s="505">
        <f t="shared" si="0"/>
        <v>0</v>
      </c>
      <c r="L46" s="503"/>
      <c r="M46" s="503"/>
      <c r="N46" s="504"/>
      <c r="O46" s="502">
        <f t="shared" si="1"/>
        <v>0</v>
      </c>
      <c r="P46" s="503"/>
      <c r="Q46" s="503"/>
      <c r="R46" s="504"/>
      <c r="S46" s="32"/>
      <c r="T46" s="492"/>
      <c r="U46" s="492"/>
      <c r="V46" s="492"/>
      <c r="W46" s="492"/>
      <c r="X46" s="492"/>
      <c r="Y46" s="492"/>
      <c r="Z46" s="492"/>
      <c r="AA46" s="492"/>
      <c r="AB46" s="160"/>
      <c r="AC46" s="160"/>
      <c r="AD46" s="161"/>
      <c r="AE46" s="161"/>
      <c r="AF46" s="161"/>
    </row>
    <row r="47" spans="1:32" ht="30.75" customHeight="1">
      <c r="A47" s="141">
        <v>10140</v>
      </c>
      <c r="B47" s="133" t="s">
        <v>413</v>
      </c>
      <c r="C47" s="496"/>
      <c r="D47" s="497"/>
      <c r="E47" s="497"/>
      <c r="F47" s="498"/>
      <c r="G47" s="496"/>
      <c r="H47" s="497"/>
      <c r="I47" s="497"/>
      <c r="J47" s="498"/>
      <c r="K47" s="505">
        <f t="shared" si="0"/>
        <v>0</v>
      </c>
      <c r="L47" s="503"/>
      <c r="M47" s="503"/>
      <c r="N47" s="504"/>
      <c r="O47" s="502">
        <f t="shared" si="1"/>
        <v>0</v>
      </c>
      <c r="P47" s="503"/>
      <c r="Q47" s="503"/>
      <c r="R47" s="504"/>
      <c r="S47" s="32"/>
      <c r="T47" s="492"/>
      <c r="U47" s="492"/>
      <c r="V47" s="492"/>
      <c r="W47" s="492"/>
      <c r="X47" s="492"/>
      <c r="Y47" s="492"/>
      <c r="Z47" s="492"/>
      <c r="AA47" s="492"/>
      <c r="AB47" s="160"/>
      <c r="AC47" s="160"/>
      <c r="AD47" s="161"/>
      <c r="AE47" s="161"/>
      <c r="AF47" s="161"/>
    </row>
    <row r="48" spans="1:32" ht="30.75" customHeight="1">
      <c r="A48" s="141">
        <v>10141</v>
      </c>
      <c r="B48" s="133" t="s">
        <v>414</v>
      </c>
      <c r="C48" s="496"/>
      <c r="D48" s="497"/>
      <c r="E48" s="497"/>
      <c r="F48" s="498"/>
      <c r="G48" s="496"/>
      <c r="H48" s="497"/>
      <c r="I48" s="497"/>
      <c r="J48" s="498"/>
      <c r="K48" s="505">
        <f t="shared" si="0"/>
        <v>0</v>
      </c>
      <c r="L48" s="503"/>
      <c r="M48" s="503"/>
      <c r="N48" s="504"/>
      <c r="O48" s="502">
        <f t="shared" si="1"/>
        <v>0</v>
      </c>
      <c r="P48" s="503"/>
      <c r="Q48" s="503"/>
      <c r="R48" s="504"/>
      <c r="S48" s="32"/>
      <c r="T48" s="492"/>
      <c r="U48" s="492"/>
      <c r="V48" s="492"/>
      <c r="W48" s="492"/>
      <c r="X48" s="492"/>
      <c r="Y48" s="492"/>
      <c r="Z48" s="492"/>
      <c r="AA48" s="492"/>
      <c r="AB48" s="160"/>
      <c r="AC48" s="160"/>
      <c r="AD48" s="161"/>
      <c r="AE48" s="161"/>
      <c r="AF48" s="161"/>
    </row>
    <row r="49" spans="1:32" ht="30.75" customHeight="1">
      <c r="A49" s="141">
        <v>10142</v>
      </c>
      <c r="B49" s="133" t="s">
        <v>163</v>
      </c>
      <c r="C49" s="496"/>
      <c r="D49" s="497"/>
      <c r="E49" s="497"/>
      <c r="F49" s="498"/>
      <c r="G49" s="496"/>
      <c r="H49" s="497"/>
      <c r="I49" s="497"/>
      <c r="J49" s="498"/>
      <c r="K49" s="505">
        <f t="shared" si="0"/>
        <v>0</v>
      </c>
      <c r="L49" s="503"/>
      <c r="M49" s="503"/>
      <c r="N49" s="504"/>
      <c r="O49" s="502">
        <f t="shared" si="1"/>
        <v>0</v>
      </c>
      <c r="P49" s="503"/>
      <c r="Q49" s="503"/>
      <c r="R49" s="504"/>
      <c r="S49" s="32"/>
      <c r="T49" s="510" t="str">
        <f>IF(K49=O50+O51," ","مغایرت واگذاری داراییهای مالی پیش بینی شده و تحقق یافته با واگذاری داراییهای مالی واحد دستگاه")</f>
        <v xml:space="preserve"> </v>
      </c>
      <c r="U49" s="510"/>
      <c r="V49" s="510"/>
      <c r="W49" s="510"/>
      <c r="X49" s="510"/>
      <c r="Y49" s="510"/>
      <c r="Z49" s="510"/>
      <c r="AA49" s="510"/>
      <c r="AB49" s="510"/>
      <c r="AC49" s="510"/>
      <c r="AD49" s="161"/>
      <c r="AE49" s="161"/>
      <c r="AF49" s="161"/>
    </row>
    <row r="50" spans="1:32" ht="30.75" customHeight="1">
      <c r="A50" s="141">
        <v>10143</v>
      </c>
      <c r="B50" s="133" t="s">
        <v>164</v>
      </c>
      <c r="C50" s="496"/>
      <c r="D50" s="497"/>
      <c r="E50" s="497"/>
      <c r="F50" s="498"/>
      <c r="G50" s="496"/>
      <c r="H50" s="497"/>
      <c r="I50" s="497"/>
      <c r="J50" s="498"/>
      <c r="K50" s="505">
        <f t="shared" si="0"/>
        <v>0</v>
      </c>
      <c r="L50" s="503"/>
      <c r="M50" s="503"/>
      <c r="N50" s="504"/>
      <c r="O50" s="502">
        <f t="shared" si="1"/>
        <v>0</v>
      </c>
      <c r="P50" s="503"/>
      <c r="Q50" s="503"/>
      <c r="R50" s="504"/>
      <c r="S50" s="32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161"/>
      <c r="AE50" s="161"/>
      <c r="AF50" s="161"/>
    </row>
    <row r="51" spans="1:32" ht="30.75" customHeight="1">
      <c r="A51" s="141">
        <v>10144</v>
      </c>
      <c r="B51" s="133" t="s">
        <v>165</v>
      </c>
      <c r="C51" s="496"/>
      <c r="D51" s="497"/>
      <c r="E51" s="497"/>
      <c r="F51" s="498"/>
      <c r="G51" s="496"/>
      <c r="H51" s="497"/>
      <c r="I51" s="497"/>
      <c r="J51" s="498"/>
      <c r="K51" s="505">
        <f t="shared" si="0"/>
        <v>0</v>
      </c>
      <c r="L51" s="503"/>
      <c r="M51" s="503"/>
      <c r="N51" s="504"/>
      <c r="O51" s="502">
        <f t="shared" si="1"/>
        <v>0</v>
      </c>
      <c r="P51" s="503"/>
      <c r="Q51" s="503"/>
      <c r="R51" s="504"/>
      <c r="S51" s="32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161"/>
      <c r="AE51" s="161"/>
      <c r="AF51" s="161"/>
    </row>
    <row r="52" spans="1:32" ht="30.75" customHeight="1">
      <c r="A52" s="141">
        <v>10145</v>
      </c>
      <c r="B52" s="133" t="s">
        <v>167</v>
      </c>
      <c r="C52" s="496"/>
      <c r="D52" s="497"/>
      <c r="E52" s="497"/>
      <c r="F52" s="498"/>
      <c r="G52" s="496"/>
      <c r="H52" s="497"/>
      <c r="I52" s="497"/>
      <c r="J52" s="498"/>
      <c r="K52" s="505">
        <f t="shared" si="0"/>
        <v>0</v>
      </c>
      <c r="L52" s="503"/>
      <c r="M52" s="503"/>
      <c r="N52" s="504"/>
      <c r="O52" s="502">
        <f t="shared" si="1"/>
        <v>0</v>
      </c>
      <c r="P52" s="503"/>
      <c r="Q52" s="503"/>
      <c r="R52" s="504"/>
      <c r="S52" s="32"/>
      <c r="T52" s="510" t="str">
        <f>IF(O52=K53," ","مغایرت واگذاری داراییهای مالی ارسالی با واگذاری داراییهای مالی وصولی")</f>
        <v xml:space="preserve"> </v>
      </c>
      <c r="U52" s="510"/>
      <c r="V52" s="510"/>
      <c r="W52" s="510"/>
      <c r="X52" s="510"/>
      <c r="Y52" s="510"/>
      <c r="Z52" s="510"/>
      <c r="AA52" s="510"/>
      <c r="AB52" s="510"/>
      <c r="AC52" s="510"/>
      <c r="AD52" s="161"/>
      <c r="AE52" s="161"/>
      <c r="AF52" s="161"/>
    </row>
    <row r="53" spans="1:32" ht="30.75" customHeight="1" thickBot="1">
      <c r="A53" s="142">
        <v>10146</v>
      </c>
      <c r="B53" s="134" t="s">
        <v>166</v>
      </c>
      <c r="C53" s="496"/>
      <c r="D53" s="497"/>
      <c r="E53" s="497"/>
      <c r="F53" s="498"/>
      <c r="G53" s="496"/>
      <c r="H53" s="497"/>
      <c r="I53" s="497"/>
      <c r="J53" s="498"/>
      <c r="K53" s="548">
        <f t="shared" si="0"/>
        <v>0</v>
      </c>
      <c r="L53" s="549"/>
      <c r="M53" s="549"/>
      <c r="N53" s="550"/>
      <c r="O53" s="551">
        <f t="shared" si="1"/>
        <v>0</v>
      </c>
      <c r="P53" s="549"/>
      <c r="Q53" s="549"/>
      <c r="R53" s="550"/>
      <c r="S53" s="32"/>
      <c r="T53" s="510"/>
      <c r="U53" s="510"/>
      <c r="V53" s="510"/>
      <c r="W53" s="510"/>
      <c r="X53" s="510"/>
      <c r="Y53" s="510"/>
      <c r="Z53" s="492"/>
      <c r="AA53" s="492"/>
      <c r="AB53" s="160"/>
      <c r="AC53" s="160"/>
      <c r="AD53" s="161"/>
      <c r="AE53" s="161"/>
      <c r="AF53" s="161"/>
    </row>
    <row r="54" spans="1:32" ht="30.75" customHeight="1" thickBot="1">
      <c r="A54" s="527" t="s">
        <v>7</v>
      </c>
      <c r="B54" s="528"/>
      <c r="C54" s="516">
        <f>SUM(C8:F53)</f>
        <v>0</v>
      </c>
      <c r="D54" s="517"/>
      <c r="E54" s="517"/>
      <c r="F54" s="518"/>
      <c r="G54" s="516">
        <f>SUM(G8:J53)</f>
        <v>0</v>
      </c>
      <c r="H54" s="517"/>
      <c r="I54" s="517"/>
      <c r="J54" s="519"/>
      <c r="K54" s="522">
        <f>SUM(K8:N53)</f>
        <v>0</v>
      </c>
      <c r="L54" s="522"/>
      <c r="M54" s="522"/>
      <c r="N54" s="523"/>
      <c r="O54" s="521">
        <f>SUM(O8:R53)</f>
        <v>0</v>
      </c>
      <c r="P54" s="522"/>
      <c r="Q54" s="522"/>
      <c r="R54" s="523"/>
      <c r="S54" s="32"/>
      <c r="T54" s="481" t="str">
        <f>IF(K54=O54," "," مغایرت جمع مانده بدهکار با جمع مانده بستانکار")</f>
        <v xml:space="preserve"> </v>
      </c>
      <c r="U54" s="481"/>
      <c r="V54" s="481"/>
      <c r="W54" s="481"/>
      <c r="X54" s="481"/>
      <c r="Y54" s="481"/>
      <c r="Z54" s="492"/>
      <c r="AA54" s="492"/>
      <c r="AB54" s="160"/>
      <c r="AC54" s="160"/>
      <c r="AD54" s="161"/>
      <c r="AE54" s="161"/>
      <c r="AF54" s="161"/>
    </row>
    <row r="55" spans="1:32" s="2" customFormat="1" ht="30.75" customHeight="1" thickBot="1">
      <c r="A55" s="140">
        <v>102</v>
      </c>
      <c r="B55" s="30"/>
      <c r="C55" s="499" t="s">
        <v>521</v>
      </c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1"/>
      <c r="S55" s="33"/>
      <c r="T55" s="492"/>
      <c r="U55" s="492"/>
      <c r="V55" s="492"/>
      <c r="W55" s="492"/>
      <c r="X55" s="492"/>
      <c r="Y55" s="492"/>
      <c r="Z55" s="492"/>
      <c r="AA55" s="492"/>
      <c r="AB55" s="96"/>
      <c r="AC55" s="96"/>
    </row>
    <row r="56" spans="1:32" ht="30.75" customHeight="1">
      <c r="A56" s="143">
        <v>10201</v>
      </c>
      <c r="B56" s="133" t="s">
        <v>415</v>
      </c>
      <c r="C56" s="496"/>
      <c r="D56" s="497"/>
      <c r="E56" s="497"/>
      <c r="F56" s="498"/>
      <c r="G56" s="496"/>
      <c r="H56" s="497"/>
      <c r="I56" s="497"/>
      <c r="J56" s="498"/>
      <c r="K56" s="505">
        <f>IF(C56&gt;G56,C56-G56,0)</f>
        <v>0</v>
      </c>
      <c r="L56" s="503"/>
      <c r="M56" s="503"/>
      <c r="N56" s="504"/>
      <c r="O56" s="502">
        <f>IF(G56&gt;C56,G56-C56,0)</f>
        <v>0</v>
      </c>
      <c r="P56" s="503"/>
      <c r="Q56" s="503"/>
      <c r="R56" s="504"/>
      <c r="S56" s="32"/>
      <c r="T56" s="483" t="str">
        <f>IF(C57-G57=G56-C56," ","مغایرت مانده اعتبار ابلاغی با مانده دستگاه اجرایی ابلاغی")</f>
        <v xml:space="preserve"> </v>
      </c>
      <c r="U56" s="483"/>
      <c r="V56" s="483"/>
      <c r="W56" s="483"/>
      <c r="X56" s="483"/>
      <c r="Y56" s="483"/>
      <c r="Z56" s="509"/>
      <c r="AA56" s="509"/>
      <c r="AB56" s="163"/>
      <c r="AC56" s="160"/>
      <c r="AD56" s="161"/>
      <c r="AE56" s="161"/>
      <c r="AF56" s="161"/>
    </row>
    <row r="57" spans="1:32" ht="30.75" customHeight="1">
      <c r="A57" s="141">
        <v>10202</v>
      </c>
      <c r="B57" s="133" t="s">
        <v>416</v>
      </c>
      <c r="C57" s="496"/>
      <c r="D57" s="497"/>
      <c r="E57" s="497"/>
      <c r="F57" s="498"/>
      <c r="G57" s="496"/>
      <c r="H57" s="497"/>
      <c r="I57" s="497"/>
      <c r="J57" s="498"/>
      <c r="K57" s="505">
        <f>IF(C57&gt;G57,C57-G57,0)</f>
        <v>0</v>
      </c>
      <c r="L57" s="503"/>
      <c r="M57" s="503"/>
      <c r="N57" s="504"/>
      <c r="O57" s="502">
        <f>IF(G57&gt;C57,G57-C57,0)</f>
        <v>0</v>
      </c>
      <c r="P57" s="503"/>
      <c r="Q57" s="503"/>
      <c r="R57" s="504"/>
      <c r="S57" s="32"/>
      <c r="T57" s="483"/>
      <c r="U57" s="483"/>
      <c r="V57" s="483"/>
      <c r="W57" s="483"/>
      <c r="X57" s="483"/>
      <c r="Y57" s="483"/>
      <c r="Z57" s="483"/>
      <c r="AA57" s="483"/>
      <c r="AB57" s="163"/>
      <c r="AC57" s="160"/>
      <c r="AD57" s="161"/>
      <c r="AE57" s="161"/>
      <c r="AF57" s="161"/>
    </row>
    <row r="58" spans="1:32" ht="30.75" customHeight="1">
      <c r="A58" s="141">
        <v>10203</v>
      </c>
      <c r="B58" s="133" t="s">
        <v>417</v>
      </c>
      <c r="C58" s="496"/>
      <c r="D58" s="497"/>
      <c r="E58" s="497"/>
      <c r="F58" s="498"/>
      <c r="G58" s="496"/>
      <c r="H58" s="497"/>
      <c r="I58" s="497"/>
      <c r="J58" s="498"/>
      <c r="K58" s="505">
        <f t="shared" ref="K58:K89" si="2">IF(C58&gt;G58,C58-G58,0)</f>
        <v>0</v>
      </c>
      <c r="L58" s="503"/>
      <c r="M58" s="503"/>
      <c r="N58" s="504"/>
      <c r="O58" s="502">
        <f t="shared" ref="O58:O89" si="3">IF(G58&gt;C58,G58-C58,0)</f>
        <v>0</v>
      </c>
      <c r="P58" s="503"/>
      <c r="Q58" s="503"/>
      <c r="R58" s="504"/>
      <c r="S58" s="32"/>
      <c r="T58" s="483"/>
      <c r="U58" s="483"/>
      <c r="V58" s="483"/>
      <c r="W58" s="483"/>
      <c r="X58" s="483"/>
      <c r="Y58" s="483"/>
      <c r="Z58" s="483"/>
      <c r="AA58" s="483"/>
      <c r="AB58" s="163"/>
      <c r="AC58" s="160"/>
      <c r="AD58" s="161"/>
      <c r="AE58" s="161"/>
      <c r="AF58" s="161"/>
    </row>
    <row r="59" spans="1:32" ht="30.75" customHeight="1">
      <c r="A59" s="141">
        <v>10204</v>
      </c>
      <c r="B59" s="133" t="s">
        <v>168</v>
      </c>
      <c r="C59" s="496"/>
      <c r="D59" s="497"/>
      <c r="E59" s="497"/>
      <c r="F59" s="498"/>
      <c r="G59" s="496"/>
      <c r="H59" s="497"/>
      <c r="I59" s="497"/>
      <c r="J59" s="498"/>
      <c r="K59" s="505">
        <f t="shared" si="2"/>
        <v>0</v>
      </c>
      <c r="L59" s="503"/>
      <c r="M59" s="503"/>
      <c r="N59" s="504"/>
      <c r="O59" s="502">
        <f t="shared" si="3"/>
        <v>0</v>
      </c>
      <c r="P59" s="503"/>
      <c r="Q59" s="503"/>
      <c r="R59" s="504"/>
      <c r="S59" s="32"/>
      <c r="T59" s="483"/>
      <c r="U59" s="483"/>
      <c r="V59" s="483"/>
      <c r="W59" s="483"/>
      <c r="X59" s="483"/>
      <c r="Y59" s="483"/>
      <c r="Z59" s="483"/>
      <c r="AA59" s="483"/>
      <c r="AB59" s="483"/>
      <c r="AC59" s="160"/>
      <c r="AD59" s="161"/>
      <c r="AE59" s="161"/>
      <c r="AF59" s="161"/>
    </row>
    <row r="60" spans="1:32" ht="30.75" customHeight="1">
      <c r="A60" s="141">
        <v>10205</v>
      </c>
      <c r="B60" s="133" t="s">
        <v>418</v>
      </c>
      <c r="C60" s="496"/>
      <c r="D60" s="497"/>
      <c r="E60" s="497"/>
      <c r="F60" s="498"/>
      <c r="G60" s="496"/>
      <c r="H60" s="497"/>
      <c r="I60" s="497"/>
      <c r="J60" s="498"/>
      <c r="K60" s="505">
        <f t="shared" si="2"/>
        <v>0</v>
      </c>
      <c r="L60" s="503"/>
      <c r="M60" s="503"/>
      <c r="N60" s="504"/>
      <c r="O60" s="502">
        <f t="shared" si="3"/>
        <v>0</v>
      </c>
      <c r="P60" s="503"/>
      <c r="Q60" s="503"/>
      <c r="R60" s="504"/>
      <c r="S60" s="32"/>
      <c r="T60" s="483" t="str">
        <f>IF(G60-C60=C59-G59," "," مغایرت مانده دریافتی بابت اعتبارات ابلاغی با مانده بانک پرداخت اعتبارات ابلاغی ")</f>
        <v xml:space="preserve"> </v>
      </c>
      <c r="U60" s="483"/>
      <c r="V60" s="483"/>
      <c r="W60" s="483"/>
      <c r="X60" s="483"/>
      <c r="Y60" s="483"/>
      <c r="Z60" s="483"/>
      <c r="AA60" s="483"/>
      <c r="AB60" s="163"/>
      <c r="AC60" s="160"/>
      <c r="AD60" s="161"/>
      <c r="AE60" s="161"/>
      <c r="AF60" s="161"/>
    </row>
    <row r="61" spans="1:32" ht="30.75" customHeight="1">
      <c r="A61" s="141">
        <v>10206</v>
      </c>
      <c r="B61" s="133" t="s">
        <v>419</v>
      </c>
      <c r="C61" s="496"/>
      <c r="D61" s="497"/>
      <c r="E61" s="497"/>
      <c r="F61" s="498"/>
      <c r="G61" s="496"/>
      <c r="H61" s="497"/>
      <c r="I61" s="497"/>
      <c r="J61" s="498"/>
      <c r="K61" s="505">
        <f t="shared" si="2"/>
        <v>0</v>
      </c>
      <c r="L61" s="503"/>
      <c r="M61" s="503"/>
      <c r="N61" s="504"/>
      <c r="O61" s="502">
        <f t="shared" si="3"/>
        <v>0</v>
      </c>
      <c r="P61" s="503"/>
      <c r="Q61" s="503"/>
      <c r="R61" s="504"/>
      <c r="S61" s="32"/>
      <c r="T61" s="484" t="str">
        <f>IF(C61-G61=K64+K65," "," مغایرت مانده تامین اعتبارابلاغی با مانده پرداخت های غیر قطعی ابلاغی (پیش پرداخت ،علی الحساب و . . .)")</f>
        <v xml:space="preserve"> </v>
      </c>
      <c r="U61" s="484"/>
      <c r="V61" s="484"/>
      <c r="W61" s="484"/>
      <c r="X61" s="484"/>
      <c r="Y61" s="484"/>
      <c r="Z61" s="484"/>
      <c r="AA61" s="484"/>
      <c r="AB61" s="484"/>
      <c r="AC61" s="484"/>
      <c r="AD61" s="161"/>
      <c r="AE61" s="161"/>
      <c r="AF61" s="161"/>
    </row>
    <row r="62" spans="1:32" ht="30.75" customHeight="1">
      <c r="A62" s="141">
        <v>10207</v>
      </c>
      <c r="B62" s="133" t="s">
        <v>420</v>
      </c>
      <c r="C62" s="496"/>
      <c r="D62" s="497"/>
      <c r="E62" s="497"/>
      <c r="F62" s="498"/>
      <c r="G62" s="496"/>
      <c r="H62" s="497"/>
      <c r="I62" s="497"/>
      <c r="J62" s="498"/>
      <c r="K62" s="505">
        <f t="shared" si="2"/>
        <v>0</v>
      </c>
      <c r="L62" s="503"/>
      <c r="M62" s="503"/>
      <c r="N62" s="504"/>
      <c r="O62" s="502">
        <f t="shared" si="3"/>
        <v>0</v>
      </c>
      <c r="P62" s="503"/>
      <c r="Q62" s="503"/>
      <c r="R62" s="504"/>
      <c r="S62" s="32"/>
      <c r="T62" s="483" t="str">
        <f>IF(G62-C62=C61-G61," ","مغایرت مانده ذخیره تامین اعتبار ابلاغی و تامین اعتبار ابلاغی")</f>
        <v xml:space="preserve"> </v>
      </c>
      <c r="U62" s="483"/>
      <c r="V62" s="483"/>
      <c r="W62" s="483"/>
      <c r="X62" s="483"/>
      <c r="Y62" s="483"/>
      <c r="Z62" s="483"/>
      <c r="AA62" s="483"/>
      <c r="AB62" s="483"/>
      <c r="AC62" s="160"/>
      <c r="AD62" s="161"/>
      <c r="AE62" s="161"/>
      <c r="AF62" s="161"/>
    </row>
    <row r="63" spans="1:32" ht="30.75" customHeight="1">
      <c r="A63" s="141">
        <v>10208</v>
      </c>
      <c r="B63" s="133" t="s">
        <v>421</v>
      </c>
      <c r="C63" s="496"/>
      <c r="D63" s="497"/>
      <c r="E63" s="497"/>
      <c r="F63" s="498"/>
      <c r="G63" s="496"/>
      <c r="H63" s="497"/>
      <c r="I63" s="497"/>
      <c r="J63" s="498"/>
      <c r="K63" s="505">
        <f t="shared" si="2"/>
        <v>0</v>
      </c>
      <c r="L63" s="503"/>
      <c r="M63" s="503"/>
      <c r="N63" s="504"/>
      <c r="O63" s="502">
        <f t="shared" si="3"/>
        <v>0</v>
      </c>
      <c r="P63" s="503"/>
      <c r="Q63" s="503"/>
      <c r="R63" s="504"/>
      <c r="S63" s="32"/>
      <c r="T63" s="483" t="str">
        <f>IF(C63-G63=0," "," تنخواه گردان پرداخت ابلاغی در پایان سال مالی باید تسویه گردد")</f>
        <v xml:space="preserve"> </v>
      </c>
      <c r="U63" s="483"/>
      <c r="V63" s="483"/>
      <c r="W63" s="483"/>
      <c r="X63" s="483"/>
      <c r="Y63" s="483"/>
      <c r="Z63" s="485"/>
      <c r="AA63" s="485"/>
      <c r="AB63" s="160"/>
      <c r="AC63" s="160"/>
      <c r="AD63" s="161"/>
      <c r="AE63" s="161"/>
      <c r="AF63" s="161"/>
    </row>
    <row r="64" spans="1:32" ht="30.75" customHeight="1">
      <c r="A64" s="141">
        <v>10209</v>
      </c>
      <c r="B64" s="133" t="s">
        <v>171</v>
      </c>
      <c r="C64" s="496"/>
      <c r="D64" s="497"/>
      <c r="E64" s="497"/>
      <c r="F64" s="498"/>
      <c r="G64" s="496"/>
      <c r="H64" s="497"/>
      <c r="I64" s="497"/>
      <c r="J64" s="498"/>
      <c r="K64" s="505">
        <f t="shared" si="2"/>
        <v>0</v>
      </c>
      <c r="L64" s="503"/>
      <c r="M64" s="503"/>
      <c r="N64" s="504"/>
      <c r="O64" s="502">
        <f t="shared" si="3"/>
        <v>0</v>
      </c>
      <c r="P64" s="503"/>
      <c r="Q64" s="503"/>
      <c r="R64" s="504"/>
      <c r="S64" s="32"/>
      <c r="T64" s="485"/>
      <c r="U64" s="485"/>
      <c r="V64" s="485"/>
      <c r="W64" s="485"/>
      <c r="X64" s="485"/>
      <c r="Y64" s="485"/>
      <c r="Z64" s="485"/>
      <c r="AA64" s="485"/>
      <c r="AB64" s="160"/>
      <c r="AC64" s="160"/>
      <c r="AD64" s="161"/>
      <c r="AE64" s="161"/>
      <c r="AF64" s="161"/>
    </row>
    <row r="65" spans="1:32" ht="30.75" customHeight="1">
      <c r="A65" s="141">
        <v>10210</v>
      </c>
      <c r="B65" s="133" t="s">
        <v>172</v>
      </c>
      <c r="C65" s="496"/>
      <c r="D65" s="497"/>
      <c r="E65" s="497"/>
      <c r="F65" s="498"/>
      <c r="G65" s="496"/>
      <c r="H65" s="497"/>
      <c r="I65" s="497"/>
      <c r="J65" s="498"/>
      <c r="K65" s="505">
        <f t="shared" si="2"/>
        <v>0</v>
      </c>
      <c r="L65" s="503"/>
      <c r="M65" s="503"/>
      <c r="N65" s="504"/>
      <c r="O65" s="502">
        <f t="shared" si="3"/>
        <v>0</v>
      </c>
      <c r="P65" s="503"/>
      <c r="Q65" s="503"/>
      <c r="R65" s="504"/>
      <c r="S65" s="32"/>
      <c r="T65" s="485"/>
      <c r="U65" s="485"/>
      <c r="V65" s="485"/>
      <c r="W65" s="485"/>
      <c r="X65" s="485"/>
      <c r="Y65" s="485"/>
      <c r="Z65" s="485"/>
      <c r="AA65" s="485"/>
      <c r="AB65" s="160"/>
      <c r="AC65" s="160"/>
      <c r="AD65" s="161"/>
      <c r="AE65" s="161"/>
      <c r="AF65" s="161"/>
    </row>
    <row r="66" spans="1:32" ht="30.75" customHeight="1">
      <c r="A66" s="141">
        <v>10211</v>
      </c>
      <c r="B66" s="133" t="s">
        <v>169</v>
      </c>
      <c r="C66" s="496"/>
      <c r="D66" s="497"/>
      <c r="E66" s="497"/>
      <c r="F66" s="498"/>
      <c r="G66" s="496"/>
      <c r="H66" s="497"/>
      <c r="I66" s="497"/>
      <c r="J66" s="498"/>
      <c r="K66" s="505">
        <f t="shared" si="2"/>
        <v>0</v>
      </c>
      <c r="L66" s="503"/>
      <c r="M66" s="503"/>
      <c r="N66" s="504"/>
      <c r="O66" s="502">
        <f t="shared" si="3"/>
        <v>0</v>
      </c>
      <c r="P66" s="503"/>
      <c r="Q66" s="503"/>
      <c r="R66" s="504"/>
      <c r="S66" s="32"/>
      <c r="T66" s="485"/>
      <c r="U66" s="485"/>
      <c r="V66" s="485"/>
      <c r="W66" s="485"/>
      <c r="X66" s="485"/>
      <c r="Y66" s="485"/>
      <c r="Z66" s="485"/>
      <c r="AA66" s="485"/>
      <c r="AB66" s="160"/>
      <c r="AC66" s="160"/>
      <c r="AD66" s="161"/>
      <c r="AE66" s="161"/>
      <c r="AF66" s="161"/>
    </row>
    <row r="67" spans="1:32" ht="30.75" customHeight="1">
      <c r="A67" s="141">
        <v>10212</v>
      </c>
      <c r="B67" s="133" t="s">
        <v>422</v>
      </c>
      <c r="C67" s="496"/>
      <c r="D67" s="497"/>
      <c r="E67" s="497"/>
      <c r="F67" s="498"/>
      <c r="G67" s="496"/>
      <c r="H67" s="497"/>
      <c r="I67" s="497"/>
      <c r="J67" s="498"/>
      <c r="K67" s="505">
        <f t="shared" si="2"/>
        <v>0</v>
      </c>
      <c r="L67" s="503"/>
      <c r="M67" s="503"/>
      <c r="N67" s="504"/>
      <c r="O67" s="502">
        <f t="shared" si="3"/>
        <v>0</v>
      </c>
      <c r="P67" s="503"/>
      <c r="Q67" s="503"/>
      <c r="R67" s="504"/>
      <c r="S67" s="32"/>
      <c r="T67" s="485"/>
      <c r="U67" s="485"/>
      <c r="V67" s="485"/>
      <c r="W67" s="485"/>
      <c r="X67" s="485"/>
      <c r="Y67" s="485"/>
      <c r="Z67" s="485"/>
      <c r="AA67" s="485"/>
      <c r="AB67" s="160"/>
      <c r="AC67" s="160"/>
      <c r="AD67" s="161"/>
      <c r="AE67" s="161"/>
      <c r="AF67" s="161"/>
    </row>
    <row r="68" spans="1:32" ht="30.75" customHeight="1">
      <c r="A68" s="141">
        <v>10213</v>
      </c>
      <c r="B68" s="133" t="s">
        <v>423</v>
      </c>
      <c r="C68" s="496"/>
      <c r="D68" s="497"/>
      <c r="E68" s="497"/>
      <c r="F68" s="498"/>
      <c r="G68" s="496"/>
      <c r="H68" s="497"/>
      <c r="I68" s="497"/>
      <c r="J68" s="498"/>
      <c r="K68" s="505">
        <f t="shared" si="2"/>
        <v>0</v>
      </c>
      <c r="L68" s="503"/>
      <c r="M68" s="503"/>
      <c r="N68" s="504"/>
      <c r="O68" s="502">
        <f t="shared" si="3"/>
        <v>0</v>
      </c>
      <c r="P68" s="503"/>
      <c r="Q68" s="503"/>
      <c r="R68" s="504"/>
      <c r="S68" s="32"/>
      <c r="T68" s="485"/>
      <c r="U68" s="485"/>
      <c r="V68" s="485"/>
      <c r="W68" s="485"/>
      <c r="X68" s="485"/>
      <c r="Y68" s="485"/>
      <c r="Z68" s="485"/>
      <c r="AA68" s="485"/>
      <c r="AB68" s="160"/>
      <c r="AC68" s="160"/>
      <c r="AD68" s="161"/>
      <c r="AE68" s="161"/>
      <c r="AF68" s="161"/>
    </row>
    <row r="69" spans="1:32" ht="30.75" customHeight="1">
      <c r="A69" s="141">
        <v>10214</v>
      </c>
      <c r="B69" s="133" t="s">
        <v>424</v>
      </c>
      <c r="C69" s="496"/>
      <c r="D69" s="497"/>
      <c r="E69" s="497"/>
      <c r="F69" s="498"/>
      <c r="G69" s="496"/>
      <c r="H69" s="497"/>
      <c r="I69" s="497"/>
      <c r="J69" s="498"/>
      <c r="K69" s="505">
        <f t="shared" si="2"/>
        <v>0</v>
      </c>
      <c r="L69" s="503"/>
      <c r="M69" s="503"/>
      <c r="N69" s="504"/>
      <c r="O69" s="502">
        <f t="shared" si="3"/>
        <v>0</v>
      </c>
      <c r="P69" s="503"/>
      <c r="Q69" s="503"/>
      <c r="R69" s="504"/>
      <c r="S69" s="32"/>
      <c r="T69" s="485"/>
      <c r="U69" s="485"/>
      <c r="V69" s="485"/>
      <c r="W69" s="485"/>
      <c r="X69" s="485"/>
      <c r="Y69" s="485"/>
      <c r="Z69" s="485"/>
      <c r="AA69" s="485"/>
      <c r="AB69" s="160"/>
      <c r="AC69" s="160"/>
      <c r="AD69" s="161"/>
      <c r="AE69" s="161"/>
      <c r="AF69" s="161"/>
    </row>
    <row r="70" spans="1:32" ht="30.75" customHeight="1">
      <c r="A70" s="141">
        <v>10215</v>
      </c>
      <c r="B70" s="133" t="s">
        <v>425</v>
      </c>
      <c r="C70" s="496"/>
      <c r="D70" s="497"/>
      <c r="E70" s="497"/>
      <c r="F70" s="498"/>
      <c r="G70" s="496"/>
      <c r="H70" s="497"/>
      <c r="I70" s="497"/>
      <c r="J70" s="498"/>
      <c r="K70" s="505">
        <f t="shared" si="2"/>
        <v>0</v>
      </c>
      <c r="L70" s="503"/>
      <c r="M70" s="503"/>
      <c r="N70" s="504"/>
      <c r="O70" s="502">
        <f t="shared" si="3"/>
        <v>0</v>
      </c>
      <c r="P70" s="503"/>
      <c r="Q70" s="503"/>
      <c r="R70" s="504"/>
      <c r="S70" s="32"/>
      <c r="T70" s="485"/>
      <c r="U70" s="485"/>
      <c r="V70" s="485"/>
      <c r="W70" s="485"/>
      <c r="X70" s="485"/>
      <c r="Y70" s="485"/>
      <c r="Z70" s="485"/>
      <c r="AA70" s="485"/>
      <c r="AB70" s="160"/>
      <c r="AC70" s="160"/>
      <c r="AD70" s="161"/>
      <c r="AE70" s="161"/>
      <c r="AF70" s="161"/>
    </row>
    <row r="71" spans="1:32" ht="30.75" customHeight="1">
      <c r="A71" s="141">
        <v>10216</v>
      </c>
      <c r="B71" s="133" t="s">
        <v>426</v>
      </c>
      <c r="C71" s="496"/>
      <c r="D71" s="497"/>
      <c r="E71" s="497"/>
      <c r="F71" s="498"/>
      <c r="G71" s="496"/>
      <c r="H71" s="497"/>
      <c r="I71" s="497"/>
      <c r="J71" s="498"/>
      <c r="K71" s="505">
        <f t="shared" si="2"/>
        <v>0</v>
      </c>
      <c r="L71" s="503"/>
      <c r="M71" s="503"/>
      <c r="N71" s="504"/>
      <c r="O71" s="502">
        <f t="shared" si="3"/>
        <v>0</v>
      </c>
      <c r="P71" s="503"/>
      <c r="Q71" s="503"/>
      <c r="R71" s="504"/>
      <c r="S71" s="32"/>
      <c r="T71" s="485"/>
      <c r="U71" s="485"/>
      <c r="V71" s="485"/>
      <c r="W71" s="485"/>
      <c r="X71" s="485"/>
      <c r="Y71" s="485"/>
      <c r="Z71" s="485"/>
      <c r="AA71" s="485"/>
      <c r="AB71" s="160"/>
      <c r="AC71" s="160"/>
      <c r="AD71" s="161"/>
      <c r="AE71" s="161"/>
      <c r="AF71" s="161"/>
    </row>
    <row r="72" spans="1:32" ht="30.75" customHeight="1">
      <c r="A72" s="141">
        <v>10217</v>
      </c>
      <c r="B72" s="133" t="s">
        <v>173</v>
      </c>
      <c r="C72" s="496"/>
      <c r="D72" s="497"/>
      <c r="E72" s="497"/>
      <c r="F72" s="498"/>
      <c r="G72" s="496"/>
      <c r="H72" s="497"/>
      <c r="I72" s="497"/>
      <c r="J72" s="498"/>
      <c r="K72" s="505">
        <f t="shared" si="2"/>
        <v>0</v>
      </c>
      <c r="L72" s="503"/>
      <c r="M72" s="503"/>
      <c r="N72" s="504"/>
      <c r="O72" s="502">
        <f t="shared" si="3"/>
        <v>0</v>
      </c>
      <c r="P72" s="503"/>
      <c r="Q72" s="503"/>
      <c r="R72" s="504"/>
      <c r="S72" s="32"/>
      <c r="T72" s="483" t="str">
        <f>IF(G72-C72=K64+K65+K66+K67+K68+K69+K87+K88+K89,"  ","مغایرت مانده کنترل تخصیص اعتبار ابلاغی با مانده پرداخت های  قطعی و غیر قطعی ابلاغی")</f>
        <v xml:space="preserve">  </v>
      </c>
      <c r="U72" s="483"/>
      <c r="V72" s="483"/>
      <c r="W72" s="483"/>
      <c r="X72" s="483"/>
      <c r="Y72" s="483"/>
      <c r="Z72" s="483"/>
      <c r="AA72" s="483"/>
      <c r="AB72" s="483"/>
      <c r="AC72" s="160"/>
      <c r="AD72" s="161"/>
      <c r="AE72" s="161"/>
      <c r="AF72" s="161"/>
    </row>
    <row r="73" spans="1:32" ht="30.75" customHeight="1">
      <c r="A73" s="141">
        <v>10218</v>
      </c>
      <c r="B73" s="133" t="s">
        <v>427</v>
      </c>
      <c r="C73" s="496"/>
      <c r="D73" s="497"/>
      <c r="E73" s="497"/>
      <c r="F73" s="498"/>
      <c r="G73" s="496"/>
      <c r="H73" s="497"/>
      <c r="I73" s="497"/>
      <c r="J73" s="498"/>
      <c r="K73" s="505">
        <f t="shared" si="2"/>
        <v>0</v>
      </c>
      <c r="L73" s="503"/>
      <c r="M73" s="503"/>
      <c r="N73" s="504"/>
      <c r="O73" s="502">
        <f t="shared" si="3"/>
        <v>0</v>
      </c>
      <c r="P73" s="503"/>
      <c r="Q73" s="503"/>
      <c r="R73" s="504"/>
      <c r="S73" s="32"/>
      <c r="T73" s="485"/>
      <c r="U73" s="485"/>
      <c r="V73" s="485"/>
      <c r="W73" s="485"/>
      <c r="X73" s="485"/>
      <c r="Y73" s="485"/>
      <c r="Z73" s="485"/>
      <c r="AA73" s="485"/>
      <c r="AB73" s="160"/>
      <c r="AC73" s="160"/>
      <c r="AD73" s="161"/>
      <c r="AE73" s="161"/>
      <c r="AF73" s="161"/>
    </row>
    <row r="74" spans="1:32" ht="30.75" customHeight="1">
      <c r="A74" s="141">
        <v>10219</v>
      </c>
      <c r="B74" s="133" t="s">
        <v>428</v>
      </c>
      <c r="C74" s="496"/>
      <c r="D74" s="497"/>
      <c r="E74" s="497"/>
      <c r="F74" s="498"/>
      <c r="G74" s="496"/>
      <c r="H74" s="497"/>
      <c r="I74" s="497"/>
      <c r="J74" s="498"/>
      <c r="K74" s="505">
        <f t="shared" si="2"/>
        <v>0</v>
      </c>
      <c r="L74" s="503"/>
      <c r="M74" s="503"/>
      <c r="N74" s="504"/>
      <c r="O74" s="502">
        <f t="shared" si="3"/>
        <v>0</v>
      </c>
      <c r="P74" s="503"/>
      <c r="Q74" s="503"/>
      <c r="R74" s="504"/>
      <c r="S74" s="32"/>
      <c r="T74" s="485"/>
      <c r="U74" s="485"/>
      <c r="V74" s="485"/>
      <c r="W74" s="485"/>
      <c r="X74" s="485"/>
      <c r="Y74" s="485"/>
      <c r="Z74" s="485"/>
      <c r="AA74" s="485"/>
      <c r="AB74" s="160"/>
      <c r="AC74" s="160"/>
      <c r="AD74" s="161"/>
      <c r="AE74" s="161"/>
      <c r="AF74" s="161"/>
    </row>
    <row r="75" spans="1:32" ht="30.75" customHeight="1">
      <c r="A75" s="141">
        <v>10220</v>
      </c>
      <c r="B75" s="133" t="s">
        <v>429</v>
      </c>
      <c r="C75" s="496"/>
      <c r="D75" s="497"/>
      <c r="E75" s="497"/>
      <c r="F75" s="498"/>
      <c r="G75" s="496"/>
      <c r="H75" s="497"/>
      <c r="I75" s="497"/>
      <c r="J75" s="498"/>
      <c r="K75" s="505">
        <f t="shared" si="2"/>
        <v>0</v>
      </c>
      <c r="L75" s="503"/>
      <c r="M75" s="503"/>
      <c r="N75" s="504"/>
      <c r="O75" s="502">
        <f t="shared" si="3"/>
        <v>0</v>
      </c>
      <c r="P75" s="503"/>
      <c r="Q75" s="503"/>
      <c r="R75" s="504"/>
      <c r="S75" s="32"/>
      <c r="T75" s="485"/>
      <c r="U75" s="485"/>
      <c r="V75" s="485"/>
      <c r="W75" s="485"/>
      <c r="X75" s="485"/>
      <c r="Y75" s="485"/>
      <c r="Z75" s="485"/>
      <c r="AA75" s="485"/>
      <c r="AB75" s="160"/>
      <c r="AC75" s="160"/>
      <c r="AD75" s="161"/>
      <c r="AE75" s="161"/>
      <c r="AF75" s="161"/>
    </row>
    <row r="76" spans="1:32" ht="30.75" customHeight="1">
      <c r="A76" s="141">
        <v>10221</v>
      </c>
      <c r="B76" s="133" t="s">
        <v>430</v>
      </c>
      <c r="C76" s="496"/>
      <c r="D76" s="497"/>
      <c r="E76" s="497"/>
      <c r="F76" s="498"/>
      <c r="G76" s="496"/>
      <c r="H76" s="497"/>
      <c r="I76" s="497"/>
      <c r="J76" s="498"/>
      <c r="K76" s="505">
        <f t="shared" si="2"/>
        <v>0</v>
      </c>
      <c r="L76" s="503"/>
      <c r="M76" s="503"/>
      <c r="N76" s="504"/>
      <c r="O76" s="502">
        <f t="shared" si="3"/>
        <v>0</v>
      </c>
      <c r="P76" s="503"/>
      <c r="Q76" s="503"/>
      <c r="R76" s="504"/>
      <c r="S76" s="32"/>
      <c r="T76" s="485"/>
      <c r="U76" s="485"/>
      <c r="V76" s="485"/>
      <c r="W76" s="485"/>
      <c r="X76" s="485"/>
      <c r="Y76" s="485"/>
      <c r="Z76" s="485"/>
      <c r="AA76" s="485"/>
      <c r="AB76" s="160"/>
      <c r="AC76" s="160"/>
      <c r="AD76" s="161"/>
      <c r="AE76" s="161"/>
      <c r="AF76" s="161"/>
    </row>
    <row r="77" spans="1:32" ht="30.75" customHeight="1">
      <c r="A77" s="141">
        <v>10222</v>
      </c>
      <c r="B77" s="133" t="s">
        <v>431</v>
      </c>
      <c r="C77" s="496"/>
      <c r="D77" s="497"/>
      <c r="E77" s="497"/>
      <c r="F77" s="498"/>
      <c r="G77" s="496"/>
      <c r="H77" s="497"/>
      <c r="I77" s="497"/>
      <c r="J77" s="498"/>
      <c r="K77" s="505">
        <f t="shared" si="2"/>
        <v>0</v>
      </c>
      <c r="L77" s="503"/>
      <c r="M77" s="503"/>
      <c r="N77" s="504"/>
      <c r="O77" s="502">
        <f t="shared" si="3"/>
        <v>0</v>
      </c>
      <c r="P77" s="503"/>
      <c r="Q77" s="503"/>
      <c r="R77" s="504"/>
      <c r="S77" s="32"/>
      <c r="T77" s="485"/>
      <c r="U77" s="485"/>
      <c r="V77" s="485"/>
      <c r="W77" s="485"/>
      <c r="X77" s="485"/>
      <c r="Y77" s="485"/>
      <c r="Z77" s="485"/>
      <c r="AA77" s="485"/>
      <c r="AB77" s="160"/>
      <c r="AC77" s="160"/>
      <c r="AD77" s="161"/>
      <c r="AE77" s="161"/>
      <c r="AF77" s="161"/>
    </row>
    <row r="78" spans="1:32" ht="30.75" customHeight="1">
      <c r="A78" s="141">
        <v>10223</v>
      </c>
      <c r="B78" s="133" t="s">
        <v>432</v>
      </c>
      <c r="C78" s="496"/>
      <c r="D78" s="497"/>
      <c r="E78" s="497"/>
      <c r="F78" s="498"/>
      <c r="G78" s="496"/>
      <c r="H78" s="497"/>
      <c r="I78" s="497"/>
      <c r="J78" s="498"/>
      <c r="K78" s="505">
        <f t="shared" si="2"/>
        <v>0</v>
      </c>
      <c r="L78" s="503"/>
      <c r="M78" s="503"/>
      <c r="N78" s="504"/>
      <c r="O78" s="502">
        <f t="shared" si="3"/>
        <v>0</v>
      </c>
      <c r="P78" s="503"/>
      <c r="Q78" s="503"/>
      <c r="R78" s="504"/>
      <c r="S78" s="32"/>
      <c r="T78" s="485"/>
      <c r="U78" s="485"/>
      <c r="V78" s="485"/>
      <c r="W78" s="485"/>
      <c r="X78" s="485"/>
      <c r="Y78" s="485"/>
      <c r="Z78" s="485"/>
      <c r="AA78" s="485"/>
      <c r="AB78" s="160"/>
      <c r="AC78" s="160"/>
      <c r="AD78" s="161"/>
      <c r="AE78" s="161"/>
      <c r="AF78" s="161"/>
    </row>
    <row r="79" spans="1:32" ht="30.75" customHeight="1">
      <c r="A79" s="141">
        <v>10224</v>
      </c>
      <c r="B79" s="133" t="s">
        <v>433</v>
      </c>
      <c r="C79" s="496"/>
      <c r="D79" s="497"/>
      <c r="E79" s="497"/>
      <c r="F79" s="498"/>
      <c r="G79" s="496"/>
      <c r="H79" s="497"/>
      <c r="I79" s="497"/>
      <c r="J79" s="498"/>
      <c r="K79" s="505">
        <f t="shared" si="2"/>
        <v>0</v>
      </c>
      <c r="L79" s="503"/>
      <c r="M79" s="503"/>
      <c r="N79" s="504"/>
      <c r="O79" s="502">
        <f t="shared" si="3"/>
        <v>0</v>
      </c>
      <c r="P79" s="503"/>
      <c r="Q79" s="503"/>
      <c r="R79" s="504"/>
      <c r="S79" s="32"/>
      <c r="T79" s="485"/>
      <c r="U79" s="485"/>
      <c r="V79" s="485"/>
      <c r="W79" s="485"/>
      <c r="X79" s="485"/>
      <c r="Y79" s="485"/>
      <c r="Z79" s="485"/>
      <c r="AA79" s="485"/>
      <c r="AB79" s="160"/>
      <c r="AC79" s="160"/>
      <c r="AD79" s="161"/>
      <c r="AE79" s="161"/>
      <c r="AF79" s="161"/>
    </row>
    <row r="80" spans="1:32" ht="30.75" customHeight="1">
      <c r="A80" s="141">
        <v>10225</v>
      </c>
      <c r="B80" s="133" t="s">
        <v>434</v>
      </c>
      <c r="C80" s="496"/>
      <c r="D80" s="497"/>
      <c r="E80" s="497"/>
      <c r="F80" s="498"/>
      <c r="G80" s="496"/>
      <c r="H80" s="497"/>
      <c r="I80" s="497"/>
      <c r="J80" s="498"/>
      <c r="K80" s="505">
        <f t="shared" si="2"/>
        <v>0</v>
      </c>
      <c r="L80" s="503"/>
      <c r="M80" s="503"/>
      <c r="N80" s="504"/>
      <c r="O80" s="502">
        <f t="shared" si="3"/>
        <v>0</v>
      </c>
      <c r="P80" s="503"/>
      <c r="Q80" s="503"/>
      <c r="R80" s="504"/>
      <c r="S80" s="32"/>
      <c r="T80" s="485"/>
      <c r="U80" s="485"/>
      <c r="V80" s="485"/>
      <c r="W80" s="485"/>
      <c r="X80" s="485"/>
      <c r="Y80" s="485"/>
      <c r="Z80" s="485"/>
      <c r="AA80" s="485"/>
      <c r="AB80" s="160"/>
      <c r="AC80" s="160"/>
      <c r="AD80" s="161"/>
      <c r="AE80" s="161"/>
      <c r="AF80" s="161"/>
    </row>
    <row r="81" spans="1:32" ht="30.75" customHeight="1">
      <c r="A81" s="141">
        <v>10226</v>
      </c>
      <c r="B81" s="133" t="s">
        <v>435</v>
      </c>
      <c r="C81" s="496"/>
      <c r="D81" s="497"/>
      <c r="E81" s="497"/>
      <c r="F81" s="498"/>
      <c r="G81" s="496"/>
      <c r="H81" s="497"/>
      <c r="I81" s="497"/>
      <c r="J81" s="498"/>
      <c r="K81" s="505">
        <f t="shared" si="2"/>
        <v>0</v>
      </c>
      <c r="L81" s="503"/>
      <c r="M81" s="503"/>
      <c r="N81" s="504"/>
      <c r="O81" s="502">
        <f t="shared" si="3"/>
        <v>0</v>
      </c>
      <c r="P81" s="503"/>
      <c r="Q81" s="503"/>
      <c r="R81" s="504"/>
      <c r="S81" s="32"/>
      <c r="T81" s="485"/>
      <c r="U81" s="485"/>
      <c r="V81" s="485"/>
      <c r="W81" s="485"/>
      <c r="X81" s="485"/>
      <c r="Y81" s="485"/>
      <c r="Z81" s="485"/>
      <c r="AA81" s="485"/>
      <c r="AB81" s="160"/>
      <c r="AC81" s="160"/>
      <c r="AD81" s="161"/>
      <c r="AE81" s="161"/>
      <c r="AF81" s="161"/>
    </row>
    <row r="82" spans="1:32" ht="30.75" customHeight="1">
      <c r="A82" s="141">
        <v>10227</v>
      </c>
      <c r="B82" s="133" t="s">
        <v>436</v>
      </c>
      <c r="C82" s="496"/>
      <c r="D82" s="497"/>
      <c r="E82" s="497"/>
      <c r="F82" s="498"/>
      <c r="G82" s="496"/>
      <c r="H82" s="497"/>
      <c r="I82" s="497"/>
      <c r="J82" s="498"/>
      <c r="K82" s="505">
        <f t="shared" si="2"/>
        <v>0</v>
      </c>
      <c r="L82" s="503"/>
      <c r="M82" s="503"/>
      <c r="N82" s="504"/>
      <c r="O82" s="502">
        <f t="shared" si="3"/>
        <v>0</v>
      </c>
      <c r="P82" s="503"/>
      <c r="Q82" s="503"/>
      <c r="R82" s="504"/>
      <c r="S82" s="32"/>
      <c r="T82" s="485"/>
      <c r="U82" s="485"/>
      <c r="V82" s="485"/>
      <c r="W82" s="485"/>
      <c r="X82" s="485"/>
      <c r="Y82" s="485"/>
      <c r="Z82" s="485"/>
      <c r="AA82" s="485"/>
      <c r="AB82" s="160"/>
      <c r="AC82" s="160"/>
      <c r="AD82" s="161"/>
      <c r="AE82" s="161"/>
      <c r="AF82" s="161"/>
    </row>
    <row r="83" spans="1:32" ht="30.75" customHeight="1">
      <c r="A83" s="141">
        <v>10228</v>
      </c>
      <c r="B83" s="133" t="s">
        <v>437</v>
      </c>
      <c r="C83" s="496"/>
      <c r="D83" s="497"/>
      <c r="E83" s="497"/>
      <c r="F83" s="498"/>
      <c r="G83" s="496"/>
      <c r="H83" s="497"/>
      <c r="I83" s="497"/>
      <c r="J83" s="498"/>
      <c r="K83" s="505">
        <f t="shared" si="2"/>
        <v>0</v>
      </c>
      <c r="L83" s="503"/>
      <c r="M83" s="503"/>
      <c r="N83" s="504"/>
      <c r="O83" s="502">
        <f t="shared" si="3"/>
        <v>0</v>
      </c>
      <c r="P83" s="503"/>
      <c r="Q83" s="503"/>
      <c r="R83" s="504"/>
      <c r="S83" s="32"/>
      <c r="T83" s="485"/>
      <c r="U83" s="485"/>
      <c r="V83" s="485"/>
      <c r="W83" s="485"/>
      <c r="X83" s="485"/>
      <c r="Y83" s="485"/>
      <c r="Z83" s="485"/>
      <c r="AA83" s="485"/>
      <c r="AB83" s="160"/>
      <c r="AC83" s="160"/>
      <c r="AD83" s="161"/>
      <c r="AE83" s="161"/>
      <c r="AF83" s="161"/>
    </row>
    <row r="84" spans="1:32" ht="30.75" customHeight="1">
      <c r="A84" s="141">
        <v>10229</v>
      </c>
      <c r="B84" s="133" t="s">
        <v>438</v>
      </c>
      <c r="C84" s="496"/>
      <c r="D84" s="497"/>
      <c r="E84" s="497"/>
      <c r="F84" s="498"/>
      <c r="G84" s="496"/>
      <c r="H84" s="497"/>
      <c r="I84" s="497"/>
      <c r="J84" s="498"/>
      <c r="K84" s="505">
        <f t="shared" si="2"/>
        <v>0</v>
      </c>
      <c r="L84" s="503"/>
      <c r="M84" s="503"/>
      <c r="N84" s="504"/>
      <c r="O84" s="502">
        <f t="shared" si="3"/>
        <v>0</v>
      </c>
      <c r="P84" s="503"/>
      <c r="Q84" s="503"/>
      <c r="R84" s="504"/>
      <c r="S84" s="32"/>
      <c r="T84" s="485"/>
      <c r="U84" s="485"/>
      <c r="V84" s="485"/>
      <c r="W84" s="485"/>
      <c r="X84" s="485"/>
      <c r="Y84" s="485"/>
      <c r="Z84" s="485"/>
      <c r="AA84" s="485"/>
      <c r="AB84" s="160"/>
      <c r="AC84" s="160"/>
      <c r="AD84" s="161"/>
      <c r="AE84" s="161"/>
      <c r="AF84" s="161"/>
    </row>
    <row r="85" spans="1:32" ht="30.75" customHeight="1">
      <c r="A85" s="141">
        <v>10230</v>
      </c>
      <c r="B85" s="133" t="s">
        <v>439</v>
      </c>
      <c r="C85" s="496"/>
      <c r="D85" s="497"/>
      <c r="E85" s="497"/>
      <c r="F85" s="498"/>
      <c r="G85" s="496"/>
      <c r="H85" s="497"/>
      <c r="I85" s="497"/>
      <c r="J85" s="498"/>
      <c r="K85" s="505">
        <f t="shared" si="2"/>
        <v>0</v>
      </c>
      <c r="L85" s="503"/>
      <c r="M85" s="503"/>
      <c r="N85" s="504"/>
      <c r="O85" s="502">
        <f t="shared" si="3"/>
        <v>0</v>
      </c>
      <c r="P85" s="503"/>
      <c r="Q85" s="503"/>
      <c r="R85" s="504"/>
      <c r="S85" s="32"/>
      <c r="T85" s="485"/>
      <c r="U85" s="485"/>
      <c r="V85" s="485"/>
      <c r="W85" s="485"/>
      <c r="X85" s="485"/>
      <c r="Y85" s="485"/>
      <c r="Z85" s="485"/>
      <c r="AA85" s="485"/>
      <c r="AB85" s="160"/>
      <c r="AC85" s="160"/>
      <c r="AD85" s="161"/>
      <c r="AE85" s="161"/>
      <c r="AF85" s="161"/>
    </row>
    <row r="86" spans="1:32" ht="30.75" customHeight="1">
      <c r="A86" s="141">
        <v>10231</v>
      </c>
      <c r="B86" s="133" t="s">
        <v>440</v>
      </c>
      <c r="C86" s="496"/>
      <c r="D86" s="497"/>
      <c r="E86" s="497"/>
      <c r="F86" s="498"/>
      <c r="G86" s="496"/>
      <c r="H86" s="497"/>
      <c r="I86" s="497"/>
      <c r="J86" s="498"/>
      <c r="K86" s="505">
        <f t="shared" si="2"/>
        <v>0</v>
      </c>
      <c r="L86" s="503"/>
      <c r="M86" s="503"/>
      <c r="N86" s="504"/>
      <c r="O86" s="502">
        <f t="shared" si="3"/>
        <v>0</v>
      </c>
      <c r="P86" s="503"/>
      <c r="Q86" s="503"/>
      <c r="R86" s="504"/>
      <c r="S86" s="32"/>
      <c r="T86" s="485"/>
      <c r="U86" s="485"/>
      <c r="V86" s="485"/>
      <c r="W86" s="485"/>
      <c r="X86" s="485"/>
      <c r="Y86" s="485"/>
      <c r="Z86" s="485"/>
      <c r="AA86" s="485"/>
      <c r="AB86" s="160"/>
      <c r="AC86" s="160"/>
      <c r="AD86" s="161"/>
      <c r="AE86" s="161"/>
      <c r="AF86" s="161"/>
    </row>
    <row r="87" spans="1:32" ht="30.75" customHeight="1">
      <c r="A87" s="141">
        <v>10232</v>
      </c>
      <c r="B87" s="133" t="s">
        <v>170</v>
      </c>
      <c r="C87" s="496"/>
      <c r="D87" s="497"/>
      <c r="E87" s="497"/>
      <c r="F87" s="498"/>
      <c r="G87" s="496"/>
      <c r="H87" s="497"/>
      <c r="I87" s="497"/>
      <c r="J87" s="498"/>
      <c r="K87" s="505">
        <f t="shared" si="2"/>
        <v>0</v>
      </c>
      <c r="L87" s="503"/>
      <c r="M87" s="503"/>
      <c r="N87" s="504"/>
      <c r="O87" s="502">
        <f t="shared" si="3"/>
        <v>0</v>
      </c>
      <c r="P87" s="503"/>
      <c r="Q87" s="503"/>
      <c r="R87" s="504"/>
      <c r="S87" s="32"/>
      <c r="T87" s="485"/>
      <c r="U87" s="485"/>
      <c r="V87" s="485"/>
      <c r="W87" s="485"/>
      <c r="X87" s="485"/>
      <c r="Y87" s="485"/>
      <c r="Z87" s="485"/>
      <c r="AA87" s="485"/>
      <c r="AB87" s="160"/>
      <c r="AC87" s="160"/>
      <c r="AD87" s="161"/>
      <c r="AE87" s="161"/>
      <c r="AF87" s="161"/>
    </row>
    <row r="88" spans="1:32" ht="30.75" customHeight="1">
      <c r="A88" s="141">
        <v>10233</v>
      </c>
      <c r="B88" s="133" t="s">
        <v>441</v>
      </c>
      <c r="C88" s="496"/>
      <c r="D88" s="497"/>
      <c r="E88" s="497"/>
      <c r="F88" s="498"/>
      <c r="G88" s="496"/>
      <c r="H88" s="497"/>
      <c r="I88" s="497"/>
      <c r="J88" s="498"/>
      <c r="K88" s="505">
        <f t="shared" si="2"/>
        <v>0</v>
      </c>
      <c r="L88" s="503"/>
      <c r="M88" s="503"/>
      <c r="N88" s="504"/>
      <c r="O88" s="502">
        <f t="shared" si="3"/>
        <v>0</v>
      </c>
      <c r="P88" s="503"/>
      <c r="Q88" s="503"/>
      <c r="R88" s="504"/>
      <c r="S88" s="32"/>
      <c r="T88" s="485"/>
      <c r="U88" s="485"/>
      <c r="V88" s="485"/>
      <c r="W88" s="485"/>
      <c r="X88" s="485"/>
      <c r="Y88" s="485"/>
      <c r="Z88" s="485"/>
      <c r="AA88" s="485"/>
      <c r="AB88" s="160"/>
      <c r="AC88" s="160"/>
      <c r="AD88" s="161"/>
      <c r="AE88" s="161"/>
      <c r="AF88" s="161"/>
    </row>
    <row r="89" spans="1:32" ht="30.75" customHeight="1" thickBot="1">
      <c r="A89" s="144">
        <v>10234</v>
      </c>
      <c r="B89" s="135" t="s">
        <v>442</v>
      </c>
      <c r="C89" s="496"/>
      <c r="D89" s="497"/>
      <c r="E89" s="497"/>
      <c r="F89" s="498"/>
      <c r="G89" s="496"/>
      <c r="H89" s="497"/>
      <c r="I89" s="497"/>
      <c r="J89" s="498"/>
      <c r="K89" s="548">
        <f t="shared" si="2"/>
        <v>0</v>
      </c>
      <c r="L89" s="549"/>
      <c r="M89" s="549"/>
      <c r="N89" s="550"/>
      <c r="O89" s="551">
        <f t="shared" si="3"/>
        <v>0</v>
      </c>
      <c r="P89" s="549"/>
      <c r="Q89" s="549"/>
      <c r="R89" s="550"/>
      <c r="S89" s="32"/>
      <c r="T89" s="485"/>
      <c r="U89" s="485"/>
      <c r="V89" s="485"/>
      <c r="W89" s="485"/>
      <c r="X89" s="485"/>
      <c r="Y89" s="485"/>
      <c r="Z89" s="485"/>
      <c r="AA89" s="485"/>
      <c r="AB89" s="160"/>
      <c r="AC89" s="160"/>
      <c r="AD89" s="161"/>
      <c r="AE89" s="161"/>
      <c r="AF89" s="161"/>
    </row>
    <row r="90" spans="1:32" ht="30.75" customHeight="1" thickBot="1">
      <c r="A90" s="531" t="s">
        <v>127</v>
      </c>
      <c r="B90" s="532"/>
      <c r="C90" s="516">
        <f>SUM(C56:F89)</f>
        <v>0</v>
      </c>
      <c r="D90" s="517"/>
      <c r="E90" s="517"/>
      <c r="F90" s="518"/>
      <c r="G90" s="516">
        <f>SUM(G56:J89)</f>
        <v>0</v>
      </c>
      <c r="H90" s="517"/>
      <c r="I90" s="517"/>
      <c r="J90" s="519"/>
      <c r="K90" s="522">
        <f>SUM(K56:N89)</f>
        <v>0</v>
      </c>
      <c r="L90" s="522"/>
      <c r="M90" s="522"/>
      <c r="N90" s="523"/>
      <c r="O90" s="521">
        <f>SUM(O56:R89)</f>
        <v>0</v>
      </c>
      <c r="P90" s="522"/>
      <c r="Q90" s="522"/>
      <c r="R90" s="523"/>
      <c r="S90" s="32"/>
      <c r="T90" s="481" t="str">
        <f>IF(K90=O90," "," مغایرت جمع مانده بدهکار با جمع مانده بستانکار")</f>
        <v xml:space="preserve"> </v>
      </c>
      <c r="U90" s="481"/>
      <c r="V90" s="481"/>
      <c r="W90" s="481"/>
      <c r="X90" s="481"/>
      <c r="Y90" s="481"/>
      <c r="Z90" s="485"/>
      <c r="AA90" s="485"/>
      <c r="AB90" s="160"/>
      <c r="AC90" s="160"/>
      <c r="AD90" s="161"/>
      <c r="AE90" s="161"/>
      <c r="AF90" s="161"/>
    </row>
    <row r="91" spans="1:32" s="2" customFormat="1" ht="27" thickBot="1">
      <c r="A91" s="140">
        <v>103</v>
      </c>
      <c r="B91" s="30"/>
      <c r="C91" s="499" t="s">
        <v>520</v>
      </c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1"/>
      <c r="S91" s="34"/>
      <c r="T91" s="485"/>
      <c r="U91" s="485"/>
      <c r="V91" s="485"/>
      <c r="W91" s="485"/>
      <c r="X91" s="485"/>
      <c r="Y91" s="485"/>
      <c r="Z91" s="485"/>
      <c r="AA91" s="485"/>
      <c r="AB91" s="96"/>
      <c r="AC91" s="96"/>
    </row>
    <row r="92" spans="1:32" ht="30.75" customHeight="1">
      <c r="A92" s="143">
        <v>10301</v>
      </c>
      <c r="B92" s="133" t="s">
        <v>174</v>
      </c>
      <c r="C92" s="496"/>
      <c r="D92" s="497"/>
      <c r="E92" s="497"/>
      <c r="F92" s="498"/>
      <c r="G92" s="496"/>
      <c r="H92" s="497"/>
      <c r="I92" s="497"/>
      <c r="J92" s="498"/>
      <c r="K92" s="505">
        <f>IF(C92&gt;G92,C92-G92,0)</f>
        <v>0</v>
      </c>
      <c r="L92" s="503"/>
      <c r="M92" s="503"/>
      <c r="N92" s="504"/>
      <c r="O92" s="502">
        <f>IF(G92&gt;C92,G92-C92,0)</f>
        <v>0</v>
      </c>
      <c r="P92" s="503"/>
      <c r="Q92" s="503"/>
      <c r="R92" s="504"/>
      <c r="S92" s="32"/>
      <c r="T92" s="485"/>
      <c r="U92" s="485"/>
      <c r="V92" s="485"/>
      <c r="W92" s="485"/>
      <c r="X92" s="485"/>
      <c r="Y92" s="485"/>
      <c r="Z92" s="485"/>
      <c r="AA92" s="485"/>
      <c r="AB92" s="160"/>
      <c r="AC92" s="160"/>
      <c r="AD92" s="161"/>
      <c r="AE92" s="161"/>
      <c r="AF92" s="161"/>
    </row>
    <row r="93" spans="1:32" ht="30.75" customHeight="1">
      <c r="A93" s="141">
        <v>10302</v>
      </c>
      <c r="B93" s="133" t="s">
        <v>175</v>
      </c>
      <c r="C93" s="496"/>
      <c r="D93" s="497"/>
      <c r="E93" s="497"/>
      <c r="F93" s="498"/>
      <c r="G93" s="496"/>
      <c r="H93" s="497"/>
      <c r="I93" s="497"/>
      <c r="J93" s="498"/>
      <c r="K93" s="505">
        <f>IF(C93&gt;G93,C93-G93,0)</f>
        <v>0</v>
      </c>
      <c r="L93" s="503"/>
      <c r="M93" s="503"/>
      <c r="N93" s="504"/>
      <c r="O93" s="502">
        <f>IF(G93&gt;C93,G93-C93,0)</f>
        <v>0</v>
      </c>
      <c r="P93" s="503"/>
      <c r="Q93" s="503"/>
      <c r="R93" s="504"/>
      <c r="S93" s="32"/>
      <c r="T93" s="485"/>
      <c r="U93" s="485"/>
      <c r="V93" s="485"/>
      <c r="W93" s="485"/>
      <c r="X93" s="485"/>
      <c r="Y93" s="485"/>
      <c r="Z93" s="485"/>
      <c r="AA93" s="485"/>
      <c r="AB93" s="160"/>
      <c r="AC93" s="160"/>
      <c r="AD93" s="161"/>
      <c r="AE93" s="161"/>
      <c r="AF93" s="161"/>
    </row>
    <row r="94" spans="1:32" ht="30.75" customHeight="1">
      <c r="A94" s="141">
        <v>10303</v>
      </c>
      <c r="B94" s="133" t="s">
        <v>176</v>
      </c>
      <c r="C94" s="496"/>
      <c r="D94" s="497"/>
      <c r="E94" s="497"/>
      <c r="F94" s="498"/>
      <c r="G94" s="496"/>
      <c r="H94" s="497"/>
      <c r="I94" s="497"/>
      <c r="J94" s="498"/>
      <c r="K94" s="505">
        <f t="shared" ref="K94:K104" si="4">IF(C94&gt;G94,C94-G94,0)</f>
        <v>0</v>
      </c>
      <c r="L94" s="503"/>
      <c r="M94" s="503"/>
      <c r="N94" s="504"/>
      <c r="O94" s="502">
        <f t="shared" ref="O94:O104" si="5">IF(G94&gt;C94,G94-C94,0)</f>
        <v>0</v>
      </c>
      <c r="P94" s="503"/>
      <c r="Q94" s="503"/>
      <c r="R94" s="504"/>
      <c r="S94" s="32"/>
      <c r="T94" s="485"/>
      <c r="U94" s="485"/>
      <c r="V94" s="485"/>
      <c r="W94" s="485"/>
      <c r="X94" s="485"/>
      <c r="Y94" s="485"/>
      <c r="Z94" s="485"/>
      <c r="AA94" s="485"/>
      <c r="AB94" s="160"/>
      <c r="AC94" s="160"/>
      <c r="AD94" s="161"/>
      <c r="AE94" s="161"/>
      <c r="AF94" s="161"/>
    </row>
    <row r="95" spans="1:32" ht="30.75" customHeight="1">
      <c r="A95" s="141">
        <v>10304</v>
      </c>
      <c r="B95" s="133" t="s">
        <v>177</v>
      </c>
      <c r="C95" s="496"/>
      <c r="D95" s="497"/>
      <c r="E95" s="497"/>
      <c r="F95" s="498"/>
      <c r="G95" s="496"/>
      <c r="H95" s="497"/>
      <c r="I95" s="497"/>
      <c r="J95" s="498"/>
      <c r="K95" s="505">
        <f t="shared" si="4"/>
        <v>0</v>
      </c>
      <c r="L95" s="503"/>
      <c r="M95" s="503"/>
      <c r="N95" s="504"/>
      <c r="O95" s="502">
        <f t="shared" si="5"/>
        <v>0</v>
      </c>
      <c r="P95" s="503"/>
      <c r="Q95" s="503"/>
      <c r="R95" s="504"/>
      <c r="S95" s="32"/>
      <c r="T95" s="485"/>
      <c r="U95" s="485"/>
      <c r="V95" s="485"/>
      <c r="W95" s="485"/>
      <c r="X95" s="485"/>
      <c r="Y95" s="485"/>
      <c r="Z95" s="485"/>
      <c r="AA95" s="485"/>
      <c r="AB95" s="160"/>
      <c r="AC95" s="160"/>
      <c r="AD95" s="161"/>
      <c r="AE95" s="161"/>
      <c r="AF95" s="161"/>
    </row>
    <row r="96" spans="1:32" ht="30.75" customHeight="1">
      <c r="A96" s="141">
        <v>10305</v>
      </c>
      <c r="B96" s="133" t="s">
        <v>178</v>
      </c>
      <c r="C96" s="496"/>
      <c r="D96" s="497"/>
      <c r="E96" s="497"/>
      <c r="F96" s="498"/>
      <c r="G96" s="496"/>
      <c r="H96" s="497"/>
      <c r="I96" s="497"/>
      <c r="J96" s="498"/>
      <c r="K96" s="505">
        <f t="shared" si="4"/>
        <v>0</v>
      </c>
      <c r="L96" s="503"/>
      <c r="M96" s="503"/>
      <c r="N96" s="504"/>
      <c r="O96" s="502">
        <f t="shared" si="5"/>
        <v>0</v>
      </c>
      <c r="P96" s="503"/>
      <c r="Q96" s="503"/>
      <c r="R96" s="504"/>
      <c r="S96" s="32"/>
      <c r="T96" s="485"/>
      <c r="U96" s="485"/>
      <c r="V96" s="485"/>
      <c r="W96" s="485"/>
      <c r="X96" s="485"/>
      <c r="Y96" s="485"/>
      <c r="Z96" s="485"/>
      <c r="AA96" s="485"/>
      <c r="AB96" s="160"/>
      <c r="AC96" s="160"/>
      <c r="AD96" s="161"/>
      <c r="AE96" s="161"/>
      <c r="AF96" s="161"/>
    </row>
    <row r="97" spans="1:33" ht="30.75" customHeight="1">
      <c r="A97" s="141">
        <v>10306</v>
      </c>
      <c r="B97" s="133" t="s">
        <v>179</v>
      </c>
      <c r="C97" s="496"/>
      <c r="D97" s="497"/>
      <c r="E97" s="497"/>
      <c r="F97" s="498"/>
      <c r="G97" s="496"/>
      <c r="H97" s="497"/>
      <c r="I97" s="497"/>
      <c r="J97" s="498"/>
      <c r="K97" s="505">
        <f t="shared" si="4"/>
        <v>0</v>
      </c>
      <c r="L97" s="503"/>
      <c r="M97" s="503"/>
      <c r="N97" s="504"/>
      <c r="O97" s="502">
        <f t="shared" si="5"/>
        <v>0</v>
      </c>
      <c r="P97" s="503"/>
      <c r="Q97" s="503"/>
      <c r="R97" s="504"/>
      <c r="S97" s="32"/>
      <c r="T97" s="485"/>
      <c r="U97" s="485"/>
      <c r="V97" s="485"/>
      <c r="W97" s="485"/>
      <c r="X97" s="485"/>
      <c r="Y97" s="485"/>
      <c r="Z97" s="485"/>
      <c r="AA97" s="485"/>
      <c r="AB97" s="160"/>
      <c r="AC97" s="160"/>
      <c r="AD97" s="161"/>
      <c r="AE97" s="161"/>
      <c r="AF97" s="161"/>
    </row>
    <row r="98" spans="1:33" ht="30.75" customHeight="1">
      <c r="A98" s="141">
        <v>10307</v>
      </c>
      <c r="B98" s="133" t="s">
        <v>443</v>
      </c>
      <c r="C98" s="496"/>
      <c r="D98" s="497"/>
      <c r="E98" s="497"/>
      <c r="F98" s="498"/>
      <c r="G98" s="496"/>
      <c r="H98" s="497"/>
      <c r="I98" s="497"/>
      <c r="J98" s="498"/>
      <c r="K98" s="505">
        <f t="shared" si="4"/>
        <v>0</v>
      </c>
      <c r="L98" s="503"/>
      <c r="M98" s="503"/>
      <c r="N98" s="504"/>
      <c r="O98" s="502">
        <f t="shared" si="5"/>
        <v>0</v>
      </c>
      <c r="P98" s="503"/>
      <c r="Q98" s="503"/>
      <c r="R98" s="504"/>
      <c r="S98" s="32"/>
      <c r="T98" s="485"/>
      <c r="U98" s="485"/>
      <c r="V98" s="485"/>
      <c r="W98" s="485"/>
      <c r="X98" s="485"/>
      <c r="Y98" s="485"/>
      <c r="Z98" s="485"/>
      <c r="AA98" s="485"/>
      <c r="AB98" s="160"/>
      <c r="AC98" s="160"/>
      <c r="AD98" s="161"/>
      <c r="AE98" s="161"/>
      <c r="AF98" s="161"/>
    </row>
    <row r="99" spans="1:33" ht="30.75" customHeight="1">
      <c r="A99" s="141">
        <v>10308</v>
      </c>
      <c r="B99" s="133" t="s">
        <v>180</v>
      </c>
      <c r="C99" s="496"/>
      <c r="D99" s="497"/>
      <c r="E99" s="497"/>
      <c r="F99" s="498"/>
      <c r="G99" s="496"/>
      <c r="H99" s="497"/>
      <c r="I99" s="497"/>
      <c r="J99" s="498"/>
      <c r="K99" s="505">
        <f t="shared" si="4"/>
        <v>0</v>
      </c>
      <c r="L99" s="503"/>
      <c r="M99" s="503"/>
      <c r="N99" s="504"/>
      <c r="O99" s="502">
        <f t="shared" si="5"/>
        <v>0</v>
      </c>
      <c r="P99" s="503"/>
      <c r="Q99" s="503"/>
      <c r="R99" s="504"/>
      <c r="S99" s="32"/>
      <c r="T99" s="484" t="str">
        <f>IF(G99-C99=K92+K93+K94+K95+K96+K97+K98," ","مغایرت دریافتی از خزانه در سنوات قبل با مانده پیش پرداخت وعلی الحساب سنواتی و هزینه ازمحل پیش پرداخت و علی الحساب سنواتی و ... ")</f>
        <v xml:space="preserve"> </v>
      </c>
      <c r="U99" s="484"/>
      <c r="V99" s="484"/>
      <c r="W99" s="484"/>
      <c r="X99" s="484"/>
      <c r="Y99" s="484"/>
      <c r="Z99" s="484"/>
      <c r="AA99" s="484"/>
      <c r="AB99" s="484"/>
      <c r="AC99" s="484"/>
      <c r="AD99" s="484"/>
      <c r="AE99" s="161"/>
      <c r="AF99" s="161"/>
    </row>
    <row r="100" spans="1:33" ht="30.75" customHeight="1">
      <c r="A100" s="141">
        <v>10309</v>
      </c>
      <c r="B100" s="133" t="s">
        <v>181</v>
      </c>
      <c r="C100" s="496"/>
      <c r="D100" s="497"/>
      <c r="E100" s="497"/>
      <c r="F100" s="498"/>
      <c r="G100" s="496"/>
      <c r="H100" s="497"/>
      <c r="I100" s="497"/>
      <c r="J100" s="498"/>
      <c r="K100" s="505">
        <f t="shared" si="4"/>
        <v>0</v>
      </c>
      <c r="L100" s="503"/>
      <c r="M100" s="503"/>
      <c r="N100" s="504"/>
      <c r="O100" s="502">
        <f t="shared" si="5"/>
        <v>0</v>
      </c>
      <c r="P100" s="503"/>
      <c r="Q100" s="503"/>
      <c r="R100" s="504"/>
      <c r="S100" s="32"/>
      <c r="T100" s="484" t="str">
        <f>IF(C100-G100=K92+K93," "," مغایرت مانده تامین اعتبارسنواتی با مانده پرداخت های غیر قطعی سنواتی (پیش پرداخت ،علی الحساب و . . .)")</f>
        <v xml:space="preserve"> </v>
      </c>
      <c r="U100" s="484"/>
      <c r="V100" s="484"/>
      <c r="W100" s="484"/>
      <c r="X100" s="484"/>
      <c r="Y100" s="484"/>
      <c r="Z100" s="484"/>
      <c r="AA100" s="484"/>
      <c r="AB100" s="484"/>
      <c r="AC100" s="484"/>
      <c r="AD100" s="161"/>
      <c r="AE100" s="161"/>
      <c r="AF100" s="161"/>
    </row>
    <row r="101" spans="1:33" ht="30.75" customHeight="1">
      <c r="A101" s="141">
        <v>10310</v>
      </c>
      <c r="B101" s="133" t="s">
        <v>182</v>
      </c>
      <c r="C101" s="496"/>
      <c r="D101" s="497"/>
      <c r="E101" s="497"/>
      <c r="F101" s="498"/>
      <c r="G101" s="496"/>
      <c r="H101" s="497"/>
      <c r="I101" s="497"/>
      <c r="J101" s="498"/>
      <c r="K101" s="505">
        <f t="shared" si="4"/>
        <v>0</v>
      </c>
      <c r="L101" s="503"/>
      <c r="M101" s="503"/>
      <c r="N101" s="504"/>
      <c r="O101" s="502">
        <f t="shared" si="5"/>
        <v>0</v>
      </c>
      <c r="P101" s="503"/>
      <c r="Q101" s="503"/>
      <c r="R101" s="504"/>
      <c r="S101" s="32"/>
      <c r="T101" s="483" t="str">
        <f>IF(G101-C101=C100-G100," ","مغایرت مانده ذخیره تامین اعتبار سنواتی و تامین اعتبار سنواتی")</f>
        <v xml:space="preserve"> </v>
      </c>
      <c r="U101" s="483"/>
      <c r="V101" s="483"/>
      <c r="W101" s="483"/>
      <c r="X101" s="483"/>
      <c r="Y101" s="483"/>
      <c r="Z101" s="483"/>
      <c r="AA101" s="483"/>
      <c r="AB101" s="483"/>
      <c r="AC101" s="160"/>
      <c r="AD101" s="161"/>
      <c r="AE101" s="161"/>
      <c r="AF101" s="161"/>
    </row>
    <row r="102" spans="1:33" ht="30.75" customHeight="1">
      <c r="A102" s="141">
        <v>10311</v>
      </c>
      <c r="B102" s="133" t="s">
        <v>183</v>
      </c>
      <c r="C102" s="496"/>
      <c r="D102" s="497"/>
      <c r="E102" s="497"/>
      <c r="F102" s="498"/>
      <c r="G102" s="496"/>
      <c r="H102" s="497"/>
      <c r="I102" s="497"/>
      <c r="J102" s="498"/>
      <c r="K102" s="505">
        <f t="shared" si="4"/>
        <v>0</v>
      </c>
      <c r="L102" s="503"/>
      <c r="M102" s="503"/>
      <c r="N102" s="504"/>
      <c r="O102" s="502">
        <f t="shared" si="5"/>
        <v>0</v>
      </c>
      <c r="P102" s="503"/>
      <c r="Q102" s="503"/>
      <c r="R102" s="504"/>
      <c r="S102" s="32"/>
      <c r="T102" s="485"/>
      <c r="U102" s="485"/>
      <c r="V102" s="485"/>
      <c r="W102" s="485"/>
      <c r="X102" s="485"/>
      <c r="Y102" s="485"/>
      <c r="Z102" s="485"/>
      <c r="AA102" s="485"/>
      <c r="AB102" s="160"/>
      <c r="AC102" s="160"/>
      <c r="AD102" s="161"/>
      <c r="AE102" s="161"/>
      <c r="AF102" s="161"/>
    </row>
    <row r="103" spans="1:33" ht="30.75" customHeight="1">
      <c r="A103" s="141">
        <v>10312</v>
      </c>
      <c r="B103" s="133" t="s">
        <v>184</v>
      </c>
      <c r="C103" s="496"/>
      <c r="D103" s="497"/>
      <c r="E103" s="497"/>
      <c r="F103" s="498"/>
      <c r="G103" s="496"/>
      <c r="H103" s="497"/>
      <c r="I103" s="497"/>
      <c r="J103" s="498"/>
      <c r="K103" s="505">
        <f t="shared" si="4"/>
        <v>0</v>
      </c>
      <c r="L103" s="503"/>
      <c r="M103" s="503"/>
      <c r="N103" s="504"/>
      <c r="O103" s="502">
        <f t="shared" si="5"/>
        <v>0</v>
      </c>
      <c r="P103" s="503"/>
      <c r="Q103" s="503"/>
      <c r="R103" s="504"/>
      <c r="S103" s="32"/>
      <c r="T103" s="485"/>
      <c r="U103" s="485"/>
      <c r="V103" s="485"/>
      <c r="W103" s="485"/>
      <c r="X103" s="485"/>
      <c r="Y103" s="485"/>
      <c r="Z103" s="485"/>
      <c r="AA103" s="485"/>
      <c r="AB103" s="160"/>
      <c r="AC103" s="160"/>
      <c r="AD103" s="161"/>
      <c r="AE103" s="161"/>
      <c r="AF103" s="161"/>
    </row>
    <row r="104" spans="1:33" ht="30.75" customHeight="1" thickBot="1">
      <c r="A104" s="142">
        <v>10313</v>
      </c>
      <c r="B104" s="134" t="s">
        <v>185</v>
      </c>
      <c r="C104" s="496"/>
      <c r="D104" s="497"/>
      <c r="E104" s="497"/>
      <c r="F104" s="498"/>
      <c r="G104" s="496"/>
      <c r="H104" s="497"/>
      <c r="I104" s="497"/>
      <c r="J104" s="498"/>
      <c r="K104" s="548">
        <f t="shared" si="4"/>
        <v>0</v>
      </c>
      <c r="L104" s="549"/>
      <c r="M104" s="549"/>
      <c r="N104" s="550"/>
      <c r="O104" s="551">
        <f t="shared" si="5"/>
        <v>0</v>
      </c>
      <c r="P104" s="549"/>
      <c r="Q104" s="549"/>
      <c r="R104" s="550"/>
      <c r="S104" s="32"/>
      <c r="T104" s="485"/>
      <c r="U104" s="485"/>
      <c r="V104" s="485"/>
      <c r="W104" s="485"/>
      <c r="X104" s="485"/>
      <c r="Y104" s="485"/>
      <c r="Z104" s="485"/>
      <c r="AA104" s="485"/>
      <c r="AB104" s="160"/>
      <c r="AC104" s="160"/>
      <c r="AD104" s="161"/>
      <c r="AE104" s="161"/>
      <c r="AF104" s="161"/>
    </row>
    <row r="105" spans="1:33" ht="30.75" customHeight="1" thickBot="1">
      <c r="A105" s="529" t="s">
        <v>127</v>
      </c>
      <c r="B105" s="530"/>
      <c r="C105" s="516">
        <f>SUM(C92:F104)</f>
        <v>0</v>
      </c>
      <c r="D105" s="517"/>
      <c r="E105" s="517"/>
      <c r="F105" s="518"/>
      <c r="G105" s="516">
        <f>SUM(G92:J104)</f>
        <v>0</v>
      </c>
      <c r="H105" s="517"/>
      <c r="I105" s="517"/>
      <c r="J105" s="519"/>
      <c r="K105" s="522">
        <f>SUM(K92:N104)</f>
        <v>0</v>
      </c>
      <c r="L105" s="522"/>
      <c r="M105" s="522"/>
      <c r="N105" s="523"/>
      <c r="O105" s="521">
        <f>SUM(O92:R104)</f>
        <v>0</v>
      </c>
      <c r="P105" s="522"/>
      <c r="Q105" s="522"/>
      <c r="R105" s="523"/>
      <c r="S105" s="32"/>
      <c r="T105" s="481" t="str">
        <f>IF(K105=O105," "," مغایرت جمع مانده بدهکار با جمع مانده بستانکار")</f>
        <v xml:space="preserve"> </v>
      </c>
      <c r="U105" s="481"/>
      <c r="V105" s="481"/>
      <c r="W105" s="481"/>
      <c r="X105" s="481"/>
      <c r="Y105" s="481"/>
      <c r="Z105" s="485"/>
      <c r="AA105" s="485"/>
      <c r="AB105" s="160"/>
      <c r="AC105" s="160"/>
      <c r="AD105" s="161"/>
      <c r="AE105" s="161"/>
      <c r="AF105" s="161"/>
    </row>
    <row r="106" spans="1:33" s="2" customFormat="1" ht="27" thickBot="1">
      <c r="A106" s="140">
        <v>104</v>
      </c>
      <c r="B106" s="30"/>
      <c r="C106" s="499" t="s">
        <v>519</v>
      </c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1"/>
      <c r="S106" s="33"/>
      <c r="T106" s="485"/>
      <c r="U106" s="485"/>
      <c r="V106" s="485"/>
      <c r="W106" s="485"/>
      <c r="X106" s="485"/>
      <c r="Y106" s="485"/>
      <c r="Z106" s="485"/>
      <c r="AA106" s="485"/>
      <c r="AB106" s="96"/>
      <c r="AC106" s="96"/>
    </row>
    <row r="107" spans="1:33" ht="30.75" customHeight="1">
      <c r="A107" s="143">
        <v>10401</v>
      </c>
      <c r="B107" s="133" t="s">
        <v>186</v>
      </c>
      <c r="C107" s="496"/>
      <c r="D107" s="497"/>
      <c r="E107" s="497"/>
      <c r="F107" s="498"/>
      <c r="G107" s="496"/>
      <c r="H107" s="497"/>
      <c r="I107" s="497"/>
      <c r="J107" s="498"/>
      <c r="K107" s="505">
        <f>IF(C107&gt;G107,C107-G107,0)</f>
        <v>0</v>
      </c>
      <c r="L107" s="503"/>
      <c r="M107" s="503"/>
      <c r="N107" s="504"/>
      <c r="O107" s="502">
        <f>IF(G107&gt;C107,G107-C107,0)</f>
        <v>0</v>
      </c>
      <c r="P107" s="503"/>
      <c r="Q107" s="503"/>
      <c r="R107" s="504"/>
      <c r="S107" s="32"/>
      <c r="T107" s="482" t="str">
        <f>IF(G107-C107=K108+K109+K110+K111+K112+K113+K114+K115," ","مغایرت مانده وجوه مصرف نشده سنوات قبل با مانده (بانک پرداخت ،هزینه،پیش پرداخت،علی الحساب و...) ازمحل وجوه سنوات قبل")</f>
        <v xml:space="preserve"> </v>
      </c>
      <c r="U107" s="482"/>
      <c r="V107" s="482"/>
      <c r="W107" s="482"/>
      <c r="X107" s="482"/>
      <c r="Y107" s="482"/>
      <c r="Z107" s="482"/>
      <c r="AA107" s="482"/>
      <c r="AB107" s="482"/>
      <c r="AC107" s="482"/>
      <c r="AD107" s="482"/>
      <c r="AE107" s="482"/>
      <c r="AF107" s="482"/>
      <c r="AG107" s="482"/>
    </row>
    <row r="108" spans="1:33" ht="30.75" customHeight="1">
      <c r="A108" s="141">
        <v>10402</v>
      </c>
      <c r="B108" s="133" t="s">
        <v>187</v>
      </c>
      <c r="C108" s="496"/>
      <c r="D108" s="497"/>
      <c r="E108" s="497"/>
      <c r="F108" s="498"/>
      <c r="G108" s="496"/>
      <c r="H108" s="497"/>
      <c r="I108" s="497"/>
      <c r="J108" s="498"/>
      <c r="K108" s="505">
        <f>IF(C108&gt;G108,C108-G108,0)</f>
        <v>0</v>
      </c>
      <c r="L108" s="503"/>
      <c r="M108" s="503"/>
      <c r="N108" s="504"/>
      <c r="O108" s="502">
        <f>IF(G108&gt;C108,G108-C108,0)</f>
        <v>0</v>
      </c>
      <c r="P108" s="503"/>
      <c r="Q108" s="503"/>
      <c r="R108" s="504"/>
      <c r="S108" s="3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2"/>
      <c r="AE108" s="482"/>
      <c r="AF108" s="482"/>
      <c r="AG108" s="482"/>
    </row>
    <row r="109" spans="1:33" ht="30.75" customHeight="1">
      <c r="A109" s="141">
        <v>10403</v>
      </c>
      <c r="B109" s="133" t="s">
        <v>188</v>
      </c>
      <c r="C109" s="496"/>
      <c r="D109" s="497"/>
      <c r="E109" s="497"/>
      <c r="F109" s="498"/>
      <c r="G109" s="496"/>
      <c r="H109" s="497"/>
      <c r="I109" s="497"/>
      <c r="J109" s="498"/>
      <c r="K109" s="505">
        <f t="shared" ref="K109:K117" si="6">IF(C109&gt;G109,C109-G109,0)</f>
        <v>0</v>
      </c>
      <c r="L109" s="503"/>
      <c r="M109" s="503"/>
      <c r="N109" s="504"/>
      <c r="O109" s="502">
        <f t="shared" ref="O109:O117" si="7">IF(G109&gt;C109,G109-C109,0)</f>
        <v>0</v>
      </c>
      <c r="P109" s="503"/>
      <c r="Q109" s="503"/>
      <c r="R109" s="504"/>
      <c r="S109" s="32"/>
      <c r="T109" s="482"/>
      <c r="U109" s="482"/>
      <c r="V109" s="482"/>
      <c r="W109" s="482"/>
      <c r="X109" s="482"/>
      <c r="Y109" s="482"/>
      <c r="Z109" s="482"/>
      <c r="AA109" s="482"/>
      <c r="AB109" s="482"/>
      <c r="AC109" s="482"/>
      <c r="AD109" s="482"/>
      <c r="AE109" s="482"/>
      <c r="AF109" s="482"/>
      <c r="AG109" s="482"/>
    </row>
    <row r="110" spans="1:33" ht="30.75" customHeight="1">
      <c r="A110" s="141">
        <v>10404</v>
      </c>
      <c r="B110" s="133" t="s">
        <v>189</v>
      </c>
      <c r="C110" s="496"/>
      <c r="D110" s="497"/>
      <c r="E110" s="497"/>
      <c r="F110" s="498"/>
      <c r="G110" s="496"/>
      <c r="H110" s="497"/>
      <c r="I110" s="497"/>
      <c r="J110" s="498"/>
      <c r="K110" s="505">
        <f t="shared" si="6"/>
        <v>0</v>
      </c>
      <c r="L110" s="503"/>
      <c r="M110" s="503"/>
      <c r="N110" s="504"/>
      <c r="O110" s="502">
        <f t="shared" si="7"/>
        <v>0</v>
      </c>
      <c r="P110" s="503"/>
      <c r="Q110" s="503"/>
      <c r="R110" s="504"/>
      <c r="S110" s="3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2"/>
    </row>
    <row r="111" spans="1:33" ht="30.75" customHeight="1">
      <c r="A111" s="141">
        <v>10405</v>
      </c>
      <c r="B111" s="133" t="s">
        <v>190</v>
      </c>
      <c r="C111" s="496"/>
      <c r="D111" s="497"/>
      <c r="E111" s="497"/>
      <c r="F111" s="498"/>
      <c r="G111" s="496"/>
      <c r="H111" s="497"/>
      <c r="I111" s="497"/>
      <c r="J111" s="498"/>
      <c r="K111" s="505">
        <f t="shared" si="6"/>
        <v>0</v>
      </c>
      <c r="L111" s="503"/>
      <c r="M111" s="503"/>
      <c r="N111" s="504"/>
      <c r="O111" s="502">
        <f t="shared" si="7"/>
        <v>0</v>
      </c>
      <c r="P111" s="503"/>
      <c r="Q111" s="503"/>
      <c r="R111" s="504"/>
      <c r="S111" s="3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2"/>
      <c r="AE111" s="482"/>
      <c r="AF111" s="482"/>
      <c r="AG111" s="482"/>
    </row>
    <row r="112" spans="1:33" ht="30.75" customHeight="1">
      <c r="A112" s="141">
        <v>10406</v>
      </c>
      <c r="B112" s="133" t="s">
        <v>191</v>
      </c>
      <c r="C112" s="496"/>
      <c r="D112" s="497"/>
      <c r="E112" s="497"/>
      <c r="F112" s="498"/>
      <c r="G112" s="496"/>
      <c r="H112" s="497"/>
      <c r="I112" s="497"/>
      <c r="J112" s="498"/>
      <c r="K112" s="505">
        <f t="shared" si="6"/>
        <v>0</v>
      </c>
      <c r="L112" s="503"/>
      <c r="M112" s="503"/>
      <c r="N112" s="504"/>
      <c r="O112" s="502">
        <f t="shared" si="7"/>
        <v>0</v>
      </c>
      <c r="P112" s="503"/>
      <c r="Q112" s="503"/>
      <c r="R112" s="504"/>
      <c r="S112" s="32"/>
      <c r="T112" s="482"/>
      <c r="U112" s="482"/>
      <c r="V112" s="482"/>
      <c r="W112" s="482"/>
      <c r="X112" s="482"/>
      <c r="Y112" s="482"/>
      <c r="Z112" s="482"/>
      <c r="AA112" s="482"/>
      <c r="AB112" s="482"/>
      <c r="AC112" s="482"/>
      <c r="AD112" s="482"/>
      <c r="AE112" s="482"/>
      <c r="AF112" s="482"/>
      <c r="AG112" s="482"/>
    </row>
    <row r="113" spans="1:33" ht="30.75" customHeight="1">
      <c r="A113" s="141">
        <v>10407</v>
      </c>
      <c r="B113" s="133" t="s">
        <v>444</v>
      </c>
      <c r="C113" s="496"/>
      <c r="D113" s="497"/>
      <c r="E113" s="497"/>
      <c r="F113" s="498"/>
      <c r="G113" s="496"/>
      <c r="H113" s="497"/>
      <c r="I113" s="497"/>
      <c r="J113" s="498"/>
      <c r="K113" s="505">
        <f t="shared" si="6"/>
        <v>0</v>
      </c>
      <c r="L113" s="503"/>
      <c r="M113" s="503"/>
      <c r="N113" s="504"/>
      <c r="O113" s="502">
        <f t="shared" si="7"/>
        <v>0</v>
      </c>
      <c r="P113" s="503"/>
      <c r="Q113" s="503"/>
      <c r="R113" s="504"/>
      <c r="S113" s="32"/>
      <c r="T113" s="482"/>
      <c r="U113" s="482"/>
      <c r="V113" s="482"/>
      <c r="W113" s="482"/>
      <c r="X113" s="482"/>
      <c r="Y113" s="482"/>
      <c r="Z113" s="482"/>
      <c r="AA113" s="482"/>
      <c r="AB113" s="482"/>
      <c r="AC113" s="482"/>
      <c r="AD113" s="482"/>
      <c r="AE113" s="482"/>
      <c r="AF113" s="482"/>
      <c r="AG113" s="482"/>
    </row>
    <row r="114" spans="1:33" ht="30.75" customHeight="1">
      <c r="A114" s="141">
        <v>10408</v>
      </c>
      <c r="B114" s="133" t="s">
        <v>192</v>
      </c>
      <c r="C114" s="496"/>
      <c r="D114" s="497"/>
      <c r="E114" s="497"/>
      <c r="F114" s="498"/>
      <c r="G114" s="496"/>
      <c r="H114" s="497"/>
      <c r="I114" s="497"/>
      <c r="J114" s="498"/>
      <c r="K114" s="505">
        <f t="shared" si="6"/>
        <v>0</v>
      </c>
      <c r="L114" s="503"/>
      <c r="M114" s="503"/>
      <c r="N114" s="504"/>
      <c r="O114" s="502">
        <f t="shared" si="7"/>
        <v>0</v>
      </c>
      <c r="P114" s="503"/>
      <c r="Q114" s="503"/>
      <c r="R114" s="504"/>
      <c r="S114" s="3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482"/>
    </row>
    <row r="115" spans="1:33" ht="30.75" customHeight="1">
      <c r="A115" s="141">
        <v>10409</v>
      </c>
      <c r="B115" s="133" t="s">
        <v>445</v>
      </c>
      <c r="C115" s="496"/>
      <c r="D115" s="497"/>
      <c r="E115" s="497"/>
      <c r="F115" s="498"/>
      <c r="G115" s="496"/>
      <c r="H115" s="497"/>
      <c r="I115" s="497"/>
      <c r="J115" s="498"/>
      <c r="K115" s="505">
        <f t="shared" si="6"/>
        <v>0</v>
      </c>
      <c r="L115" s="503"/>
      <c r="M115" s="503"/>
      <c r="N115" s="504"/>
      <c r="O115" s="502">
        <f t="shared" si="7"/>
        <v>0</v>
      </c>
      <c r="P115" s="503"/>
      <c r="Q115" s="503"/>
      <c r="R115" s="504"/>
      <c r="S115" s="32"/>
      <c r="T115" s="482"/>
      <c r="U115" s="482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482"/>
    </row>
    <row r="116" spans="1:33" ht="30.75" customHeight="1">
      <c r="A116" s="141">
        <v>10410</v>
      </c>
      <c r="B116" s="133" t="s">
        <v>193</v>
      </c>
      <c r="C116" s="496"/>
      <c r="D116" s="497"/>
      <c r="E116" s="497"/>
      <c r="F116" s="498"/>
      <c r="G116" s="496"/>
      <c r="H116" s="497"/>
      <c r="I116" s="497"/>
      <c r="J116" s="498"/>
      <c r="K116" s="505">
        <f t="shared" si="6"/>
        <v>0</v>
      </c>
      <c r="L116" s="503"/>
      <c r="M116" s="503"/>
      <c r="N116" s="504"/>
      <c r="O116" s="502">
        <f t="shared" si="7"/>
        <v>0</v>
      </c>
      <c r="P116" s="503"/>
      <c r="Q116" s="503"/>
      <c r="R116" s="504"/>
      <c r="S116" s="32"/>
      <c r="T116" s="482" t="str">
        <f>IF(C116-G116=K110+K111," ","مغایرت مانده تامین اعتبار از محل وجوه مصرف نشده سنوات قبل با مانده پرداخت های غیر قطعی از محل وجوه مصرف نشده سنوات قبل(پیش پرداخت ،علی الحساب و ...)")</f>
        <v xml:space="preserve"> </v>
      </c>
      <c r="U116" s="482"/>
      <c r="V116" s="482"/>
      <c r="W116" s="482"/>
      <c r="X116" s="482"/>
      <c r="Y116" s="482"/>
      <c r="Z116" s="482"/>
      <c r="AA116" s="482"/>
      <c r="AB116" s="482"/>
      <c r="AC116" s="482"/>
      <c r="AD116" s="482"/>
      <c r="AE116" s="482"/>
      <c r="AF116" s="482"/>
      <c r="AG116" s="482"/>
    </row>
    <row r="117" spans="1:33" ht="30.75" customHeight="1" thickBot="1">
      <c r="A117" s="142">
        <v>10411</v>
      </c>
      <c r="B117" s="134" t="s">
        <v>194</v>
      </c>
      <c r="C117" s="524"/>
      <c r="D117" s="525"/>
      <c r="E117" s="525"/>
      <c r="F117" s="526"/>
      <c r="G117" s="524"/>
      <c r="H117" s="525"/>
      <c r="I117" s="525"/>
      <c r="J117" s="552"/>
      <c r="K117" s="548">
        <f t="shared" si="6"/>
        <v>0</v>
      </c>
      <c r="L117" s="549"/>
      <c r="M117" s="549"/>
      <c r="N117" s="550"/>
      <c r="O117" s="551">
        <f t="shared" si="7"/>
        <v>0</v>
      </c>
      <c r="P117" s="549"/>
      <c r="Q117" s="549"/>
      <c r="R117" s="550"/>
      <c r="S117" s="32"/>
      <c r="T117" s="482" t="str">
        <f>IF(G117-C117=C116-G116," ","مغایرت مانده ذخیره تامین اعتبار وجوه مصرف نشده سنوات قبل با مانده تامین اعتبار وجوه مصرف نشده سنوات قبل")</f>
        <v xml:space="preserve"> </v>
      </c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</row>
    <row r="118" spans="1:33" ht="30.75" customHeight="1" thickBot="1">
      <c r="A118" s="529" t="s">
        <v>127</v>
      </c>
      <c r="B118" s="530"/>
      <c r="C118" s="521">
        <f>SUM(C107:F117)</f>
        <v>0</v>
      </c>
      <c r="D118" s="522"/>
      <c r="E118" s="522"/>
      <c r="F118" s="523"/>
      <c r="G118" s="521">
        <f>SUM(G107:J117)</f>
        <v>0</v>
      </c>
      <c r="H118" s="522"/>
      <c r="I118" s="522"/>
      <c r="J118" s="522"/>
      <c r="K118" s="520">
        <f>SUM(K107:N117)</f>
        <v>0</v>
      </c>
      <c r="L118" s="517"/>
      <c r="M118" s="517"/>
      <c r="N118" s="518"/>
      <c r="O118" s="521">
        <f>SUM(O107:R117)</f>
        <v>0</v>
      </c>
      <c r="P118" s="522"/>
      <c r="Q118" s="522"/>
      <c r="R118" s="523"/>
      <c r="S118" s="32"/>
      <c r="T118" s="481" t="str">
        <f>IF(K118=O118," "," مغایرت جمع مانده بدهکار با جمع مانده بستانکار")</f>
        <v xml:space="preserve"> </v>
      </c>
      <c r="U118" s="481"/>
      <c r="V118" s="481"/>
      <c r="W118" s="481"/>
      <c r="X118" s="481"/>
      <c r="Y118" s="481"/>
      <c r="Z118" s="485"/>
      <c r="AA118" s="485"/>
      <c r="AB118" s="160"/>
      <c r="AC118" s="160"/>
      <c r="AD118" s="161"/>
      <c r="AE118" s="161"/>
      <c r="AF118" s="161"/>
    </row>
    <row r="119" spans="1:33" s="2" customFormat="1" ht="27" thickBot="1">
      <c r="A119" s="140">
        <v>105</v>
      </c>
      <c r="B119" s="30"/>
      <c r="C119" s="499" t="s">
        <v>518</v>
      </c>
      <c r="D119" s="500"/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1"/>
      <c r="S119" s="33"/>
      <c r="T119" s="485"/>
      <c r="U119" s="485"/>
      <c r="V119" s="485"/>
      <c r="W119" s="485"/>
      <c r="X119" s="485"/>
      <c r="Y119" s="485"/>
      <c r="Z119" s="485"/>
      <c r="AA119" s="485"/>
      <c r="AB119" s="96"/>
      <c r="AC119" s="96"/>
    </row>
    <row r="120" spans="1:33" ht="30.75" customHeight="1">
      <c r="A120" s="143">
        <v>10501</v>
      </c>
      <c r="B120" s="133" t="s">
        <v>195</v>
      </c>
      <c r="C120" s="496"/>
      <c r="D120" s="497"/>
      <c r="E120" s="497"/>
      <c r="F120" s="498"/>
      <c r="G120" s="496"/>
      <c r="H120" s="497"/>
      <c r="I120" s="497"/>
      <c r="J120" s="498"/>
      <c r="K120" s="505">
        <f>IF(C120&gt;G120,C120-G120,0)</f>
        <v>0</v>
      </c>
      <c r="L120" s="503"/>
      <c r="M120" s="503"/>
      <c r="N120" s="504"/>
      <c r="O120" s="502">
        <f>IF(G120&gt;C120,G120-C120,0)</f>
        <v>0</v>
      </c>
      <c r="P120" s="503"/>
      <c r="Q120" s="503"/>
      <c r="R120" s="504"/>
      <c r="S120" s="32"/>
      <c r="T120" s="485"/>
      <c r="U120" s="485"/>
      <c r="V120" s="485"/>
      <c r="W120" s="485"/>
      <c r="X120" s="485"/>
      <c r="Y120" s="485"/>
      <c r="Z120" s="485"/>
      <c r="AA120" s="485"/>
      <c r="AB120" s="160"/>
      <c r="AC120" s="160"/>
      <c r="AD120" s="161"/>
      <c r="AE120" s="161"/>
      <c r="AF120" s="161"/>
    </row>
    <row r="121" spans="1:33" ht="30.75" customHeight="1">
      <c r="A121" s="141">
        <v>10502</v>
      </c>
      <c r="B121" s="133" t="s">
        <v>196</v>
      </c>
      <c r="C121" s="496"/>
      <c r="D121" s="497"/>
      <c r="E121" s="497"/>
      <c r="F121" s="498"/>
      <c r="G121" s="496"/>
      <c r="H121" s="497"/>
      <c r="I121" s="497"/>
      <c r="J121" s="498"/>
      <c r="K121" s="505">
        <f>IF(C121&gt;G121,C121-G121,0)</f>
        <v>0</v>
      </c>
      <c r="L121" s="503"/>
      <c r="M121" s="503"/>
      <c r="N121" s="504"/>
      <c r="O121" s="502">
        <f>IF(G121&gt;C121,G121-C121,0)</f>
        <v>0</v>
      </c>
      <c r="P121" s="503"/>
      <c r="Q121" s="503"/>
      <c r="R121" s="504"/>
      <c r="S121" s="32"/>
      <c r="T121" s="485"/>
      <c r="U121" s="485"/>
      <c r="V121" s="485"/>
      <c r="W121" s="485"/>
      <c r="X121" s="485"/>
      <c r="Y121" s="485"/>
      <c r="Z121" s="485"/>
      <c r="AA121" s="485"/>
      <c r="AB121" s="160"/>
      <c r="AC121" s="160"/>
      <c r="AD121" s="161"/>
      <c r="AE121" s="161"/>
      <c r="AF121" s="161"/>
    </row>
    <row r="122" spans="1:33" ht="30.75" customHeight="1">
      <c r="A122" s="141">
        <v>10503</v>
      </c>
      <c r="B122" s="133" t="s">
        <v>197</v>
      </c>
      <c r="C122" s="496"/>
      <c r="D122" s="497"/>
      <c r="E122" s="497"/>
      <c r="F122" s="498"/>
      <c r="G122" s="496"/>
      <c r="H122" s="497"/>
      <c r="I122" s="497"/>
      <c r="J122" s="498"/>
      <c r="K122" s="505">
        <f t="shared" ref="K122:K129" si="8">IF(C122&gt;G122,C122-G122,0)</f>
        <v>0</v>
      </c>
      <c r="L122" s="503"/>
      <c r="M122" s="503"/>
      <c r="N122" s="504"/>
      <c r="O122" s="502">
        <f t="shared" ref="O122:O129" si="9">IF(G122&gt;C122,G122-C122,0)</f>
        <v>0</v>
      </c>
      <c r="P122" s="503"/>
      <c r="Q122" s="503"/>
      <c r="R122" s="504"/>
      <c r="S122" s="32"/>
      <c r="T122" s="485"/>
      <c r="U122" s="485"/>
      <c r="V122" s="485"/>
      <c r="W122" s="485"/>
      <c r="X122" s="485"/>
      <c r="Y122" s="485"/>
      <c r="Z122" s="485"/>
      <c r="AA122" s="485"/>
      <c r="AB122" s="160"/>
      <c r="AC122" s="160"/>
      <c r="AD122" s="161"/>
      <c r="AE122" s="161"/>
      <c r="AF122" s="161"/>
    </row>
    <row r="123" spans="1:33" ht="30.75" customHeight="1">
      <c r="A123" s="141">
        <v>10504</v>
      </c>
      <c r="B123" s="133" t="s">
        <v>198</v>
      </c>
      <c r="C123" s="496"/>
      <c r="D123" s="497"/>
      <c r="E123" s="497"/>
      <c r="F123" s="498"/>
      <c r="G123" s="496"/>
      <c r="H123" s="497"/>
      <c r="I123" s="497"/>
      <c r="J123" s="498"/>
      <c r="K123" s="505">
        <f t="shared" si="8"/>
        <v>0</v>
      </c>
      <c r="L123" s="503"/>
      <c r="M123" s="503"/>
      <c r="N123" s="504"/>
      <c r="O123" s="502">
        <f t="shared" si="9"/>
        <v>0</v>
      </c>
      <c r="P123" s="503"/>
      <c r="Q123" s="503"/>
      <c r="R123" s="504"/>
      <c r="S123" s="32"/>
      <c r="T123" s="483" t="str">
        <f>IF(G123-C123=C122-G122," ","مغایرت مانده طرف حساب تضمینات با مانده حساب تضمینات")</f>
        <v xml:space="preserve"> </v>
      </c>
      <c r="U123" s="483"/>
      <c r="V123" s="483"/>
      <c r="W123" s="483"/>
      <c r="X123" s="483"/>
      <c r="Y123" s="483"/>
      <c r="Z123" s="485"/>
      <c r="AA123" s="485"/>
      <c r="AB123" s="160"/>
      <c r="AC123" s="160"/>
      <c r="AD123" s="161"/>
      <c r="AE123" s="161"/>
      <c r="AF123" s="161"/>
    </row>
    <row r="124" spans="1:33" ht="30.75" customHeight="1">
      <c r="A124" s="141">
        <v>10505</v>
      </c>
      <c r="B124" s="133" t="s">
        <v>199</v>
      </c>
      <c r="C124" s="496"/>
      <c r="D124" s="497"/>
      <c r="E124" s="497"/>
      <c r="F124" s="498"/>
      <c r="G124" s="496"/>
      <c r="H124" s="497"/>
      <c r="I124" s="497"/>
      <c r="J124" s="498"/>
      <c r="K124" s="505">
        <f t="shared" si="8"/>
        <v>0</v>
      </c>
      <c r="L124" s="503"/>
      <c r="M124" s="503"/>
      <c r="N124" s="504"/>
      <c r="O124" s="502">
        <f t="shared" si="9"/>
        <v>0</v>
      </c>
      <c r="P124" s="503"/>
      <c r="Q124" s="503"/>
      <c r="R124" s="504"/>
      <c r="S124" s="32"/>
      <c r="T124" s="485"/>
      <c r="U124" s="485"/>
      <c r="V124" s="485"/>
      <c r="W124" s="485"/>
      <c r="X124" s="485"/>
      <c r="Y124" s="485"/>
      <c r="Z124" s="485"/>
      <c r="AA124" s="485"/>
      <c r="AB124" s="160"/>
      <c r="AC124" s="160"/>
      <c r="AD124" s="161"/>
      <c r="AE124" s="161"/>
      <c r="AF124" s="161"/>
    </row>
    <row r="125" spans="1:33" ht="30.75" customHeight="1">
      <c r="A125" s="141">
        <v>10506</v>
      </c>
      <c r="B125" s="133" t="s">
        <v>200</v>
      </c>
      <c r="C125" s="496"/>
      <c r="D125" s="497"/>
      <c r="E125" s="497"/>
      <c r="F125" s="498"/>
      <c r="G125" s="496"/>
      <c r="H125" s="497"/>
      <c r="I125" s="497"/>
      <c r="J125" s="498"/>
      <c r="K125" s="505">
        <f t="shared" si="8"/>
        <v>0</v>
      </c>
      <c r="L125" s="503"/>
      <c r="M125" s="503"/>
      <c r="N125" s="504"/>
      <c r="O125" s="502">
        <f t="shared" si="9"/>
        <v>0</v>
      </c>
      <c r="P125" s="503"/>
      <c r="Q125" s="503"/>
      <c r="R125" s="504"/>
      <c r="S125" s="32"/>
      <c r="T125" s="485"/>
      <c r="U125" s="485"/>
      <c r="V125" s="485"/>
      <c r="W125" s="485"/>
      <c r="X125" s="485"/>
      <c r="Y125" s="485"/>
      <c r="Z125" s="485"/>
      <c r="AA125" s="485"/>
      <c r="AB125" s="160"/>
      <c r="AC125" s="160"/>
      <c r="AD125" s="161"/>
      <c r="AE125" s="161"/>
      <c r="AF125" s="161"/>
    </row>
    <row r="126" spans="1:33" ht="30.75" customHeight="1">
      <c r="A126" s="141">
        <v>10507</v>
      </c>
      <c r="B126" s="133" t="s">
        <v>201</v>
      </c>
      <c r="C126" s="496"/>
      <c r="D126" s="497"/>
      <c r="E126" s="497"/>
      <c r="F126" s="498"/>
      <c r="G126" s="496"/>
      <c r="H126" s="497"/>
      <c r="I126" s="497"/>
      <c r="J126" s="498"/>
      <c r="K126" s="505">
        <f t="shared" si="8"/>
        <v>0</v>
      </c>
      <c r="L126" s="503"/>
      <c r="M126" s="503"/>
      <c r="N126" s="504"/>
      <c r="O126" s="502">
        <f t="shared" si="9"/>
        <v>0</v>
      </c>
      <c r="P126" s="503"/>
      <c r="Q126" s="503"/>
      <c r="R126" s="504"/>
      <c r="S126" s="32"/>
      <c r="T126" s="485"/>
      <c r="U126" s="485"/>
      <c r="V126" s="485"/>
      <c r="W126" s="485"/>
      <c r="X126" s="485"/>
      <c r="Y126" s="485"/>
      <c r="Z126" s="485"/>
      <c r="AA126" s="485"/>
      <c r="AB126" s="160"/>
      <c r="AC126" s="160"/>
      <c r="AD126" s="161"/>
      <c r="AE126" s="161"/>
      <c r="AF126" s="161"/>
    </row>
    <row r="127" spans="1:33" ht="30.75" customHeight="1">
      <c r="A127" s="141">
        <v>10508</v>
      </c>
      <c r="B127" s="133" t="s">
        <v>202</v>
      </c>
      <c r="C127" s="496"/>
      <c r="D127" s="497"/>
      <c r="E127" s="497"/>
      <c r="F127" s="498"/>
      <c r="G127" s="496"/>
      <c r="H127" s="497"/>
      <c r="I127" s="497"/>
      <c r="J127" s="498"/>
      <c r="K127" s="505">
        <f t="shared" si="8"/>
        <v>0</v>
      </c>
      <c r="L127" s="503"/>
      <c r="M127" s="503"/>
      <c r="N127" s="504"/>
      <c r="O127" s="502">
        <f t="shared" si="9"/>
        <v>0</v>
      </c>
      <c r="P127" s="503"/>
      <c r="Q127" s="503"/>
      <c r="R127" s="504"/>
      <c r="S127" s="32"/>
      <c r="T127" s="485"/>
      <c r="U127" s="485"/>
      <c r="V127" s="485"/>
      <c r="W127" s="485"/>
      <c r="X127" s="485"/>
      <c r="Y127" s="485"/>
      <c r="Z127" s="485"/>
      <c r="AA127" s="485"/>
      <c r="AB127" s="160"/>
      <c r="AC127" s="160"/>
      <c r="AD127" s="161"/>
      <c r="AE127" s="161"/>
      <c r="AF127" s="161"/>
    </row>
    <row r="128" spans="1:33" ht="30.75" customHeight="1">
      <c r="A128" s="141">
        <v>10509</v>
      </c>
      <c r="B128" s="133" t="s">
        <v>203</v>
      </c>
      <c r="C128" s="496"/>
      <c r="D128" s="497"/>
      <c r="E128" s="497"/>
      <c r="F128" s="498"/>
      <c r="G128" s="496"/>
      <c r="H128" s="497"/>
      <c r="I128" s="497"/>
      <c r="J128" s="498"/>
      <c r="K128" s="505">
        <f t="shared" si="8"/>
        <v>0</v>
      </c>
      <c r="L128" s="503"/>
      <c r="M128" s="503"/>
      <c r="N128" s="504"/>
      <c r="O128" s="502">
        <f t="shared" si="9"/>
        <v>0</v>
      </c>
      <c r="P128" s="503"/>
      <c r="Q128" s="503"/>
      <c r="R128" s="504"/>
      <c r="S128" s="32"/>
      <c r="T128" s="485"/>
      <c r="U128" s="485"/>
      <c r="V128" s="485"/>
      <c r="W128" s="485"/>
      <c r="X128" s="485"/>
      <c r="Y128" s="485"/>
      <c r="Z128" s="485"/>
      <c r="AA128" s="485"/>
      <c r="AB128" s="160"/>
      <c r="AC128" s="160"/>
      <c r="AD128" s="161"/>
      <c r="AE128" s="161"/>
      <c r="AF128" s="161"/>
    </row>
    <row r="129" spans="1:32" ht="30.75" customHeight="1" thickBot="1">
      <c r="A129" s="142">
        <v>10510</v>
      </c>
      <c r="B129" s="134" t="s">
        <v>204</v>
      </c>
      <c r="C129" s="496"/>
      <c r="D129" s="497"/>
      <c r="E129" s="497"/>
      <c r="F129" s="498"/>
      <c r="G129" s="496"/>
      <c r="H129" s="497"/>
      <c r="I129" s="497"/>
      <c r="J129" s="498"/>
      <c r="K129" s="548">
        <f t="shared" si="8"/>
        <v>0</v>
      </c>
      <c r="L129" s="549"/>
      <c r="M129" s="549"/>
      <c r="N129" s="550"/>
      <c r="O129" s="551">
        <f t="shared" si="9"/>
        <v>0</v>
      </c>
      <c r="P129" s="549"/>
      <c r="Q129" s="549"/>
      <c r="R129" s="550"/>
      <c r="S129" s="32"/>
      <c r="T129" s="483" t="str">
        <f>IF(G129-C129=C128-G128," ","مغایرت مانده طرف حساب کنترل قراردادها با مانده حساب کنترل قراردادها")</f>
        <v xml:space="preserve"> </v>
      </c>
      <c r="U129" s="483"/>
      <c r="V129" s="483"/>
      <c r="W129" s="483"/>
      <c r="X129" s="483"/>
      <c r="Y129" s="483"/>
      <c r="Z129" s="483"/>
      <c r="AA129" s="483"/>
      <c r="AB129" s="160"/>
      <c r="AC129" s="160"/>
      <c r="AD129" s="161"/>
      <c r="AE129" s="161"/>
      <c r="AF129" s="161"/>
    </row>
    <row r="130" spans="1:32" ht="30.75" customHeight="1" thickBot="1">
      <c r="A130" s="529" t="s">
        <v>127</v>
      </c>
      <c r="B130" s="530"/>
      <c r="C130" s="516">
        <f>SUM(C120:F129)</f>
        <v>0</v>
      </c>
      <c r="D130" s="517"/>
      <c r="E130" s="517"/>
      <c r="F130" s="518"/>
      <c r="G130" s="516">
        <f>SUM(G120:J129)</f>
        <v>0</v>
      </c>
      <c r="H130" s="517"/>
      <c r="I130" s="517"/>
      <c r="J130" s="519"/>
      <c r="K130" s="520">
        <f>SUM(K120:N129)</f>
        <v>0</v>
      </c>
      <c r="L130" s="517"/>
      <c r="M130" s="517"/>
      <c r="N130" s="518"/>
      <c r="O130" s="521">
        <f>SUM(O120:R129)</f>
        <v>0</v>
      </c>
      <c r="P130" s="522"/>
      <c r="Q130" s="522"/>
      <c r="R130" s="523"/>
      <c r="S130" s="32"/>
      <c r="T130" s="481" t="str">
        <f>IF(K130=O130," "," مغایرت جمع مانده بدهکار با جمع مانده بستانکار")</f>
        <v xml:space="preserve"> </v>
      </c>
      <c r="U130" s="481"/>
      <c r="V130" s="481"/>
      <c r="W130" s="481"/>
      <c r="X130" s="481"/>
      <c r="Y130" s="481"/>
      <c r="Z130" s="485"/>
      <c r="AA130" s="485"/>
      <c r="AB130" s="160"/>
      <c r="AC130" s="160"/>
      <c r="AD130" s="161"/>
      <c r="AE130" s="161"/>
      <c r="AF130" s="161"/>
    </row>
    <row r="131" spans="1:32" s="2" customFormat="1" ht="27" thickBot="1">
      <c r="A131" s="140">
        <v>106</v>
      </c>
      <c r="B131" s="30"/>
      <c r="C131" s="499" t="s">
        <v>523</v>
      </c>
      <c r="D131" s="500"/>
      <c r="E131" s="500"/>
      <c r="F131" s="500"/>
      <c r="G131" s="500"/>
      <c r="H131" s="500"/>
      <c r="I131" s="500"/>
      <c r="J131" s="500"/>
      <c r="K131" s="500"/>
      <c r="L131" s="500"/>
      <c r="M131" s="500"/>
      <c r="N131" s="500"/>
      <c r="O131" s="500"/>
      <c r="P131" s="500"/>
      <c r="Q131" s="500"/>
      <c r="R131" s="501"/>
      <c r="S131" s="33"/>
      <c r="T131" s="485"/>
      <c r="U131" s="485"/>
      <c r="V131" s="485"/>
      <c r="W131" s="485"/>
      <c r="X131" s="485"/>
      <c r="Y131" s="485"/>
      <c r="Z131" s="485"/>
      <c r="AA131" s="485"/>
      <c r="AB131" s="96"/>
      <c r="AC131" s="96"/>
    </row>
    <row r="132" spans="1:32" ht="30.75" customHeight="1">
      <c r="A132" s="143">
        <v>10601</v>
      </c>
      <c r="B132" s="133" t="s">
        <v>205</v>
      </c>
      <c r="C132" s="496"/>
      <c r="D132" s="497"/>
      <c r="E132" s="497"/>
      <c r="F132" s="498"/>
      <c r="G132" s="496"/>
      <c r="H132" s="497"/>
      <c r="I132" s="497"/>
      <c r="J132" s="498"/>
      <c r="K132" s="505">
        <f>IF(C132&gt;G132,C132-G132,0)</f>
        <v>0</v>
      </c>
      <c r="L132" s="503"/>
      <c r="M132" s="503"/>
      <c r="N132" s="504"/>
      <c r="O132" s="502">
        <f>IF(G132&gt;C132,G132-C132,0)</f>
        <v>0</v>
      </c>
      <c r="P132" s="503"/>
      <c r="Q132" s="503"/>
      <c r="R132" s="504"/>
      <c r="S132" s="32"/>
      <c r="T132" s="483" t="str">
        <f>IF(C132-G132=G133-C133+G134-C134," "," مغایرت مانده درآمده واحد دستگاه با مانده درآمد پیش بینی شده و درآمد تحقق یافته")</f>
        <v xml:space="preserve"> </v>
      </c>
      <c r="U132" s="483"/>
      <c r="V132" s="483"/>
      <c r="W132" s="483"/>
      <c r="X132" s="483"/>
      <c r="Y132" s="483"/>
      <c r="Z132" s="483"/>
      <c r="AA132" s="483"/>
      <c r="AB132" s="160"/>
      <c r="AC132" s="160"/>
      <c r="AD132" s="161"/>
      <c r="AE132" s="161"/>
      <c r="AF132" s="161"/>
    </row>
    <row r="133" spans="1:32" ht="30.75" customHeight="1">
      <c r="A133" s="141">
        <v>10602</v>
      </c>
      <c r="B133" s="133" t="s">
        <v>206</v>
      </c>
      <c r="C133" s="496"/>
      <c r="D133" s="497"/>
      <c r="E133" s="497"/>
      <c r="F133" s="498"/>
      <c r="G133" s="496"/>
      <c r="H133" s="497"/>
      <c r="I133" s="497"/>
      <c r="J133" s="498"/>
      <c r="K133" s="505">
        <f>IF(C133&gt;G133,C133-G133,0)</f>
        <v>0</v>
      </c>
      <c r="L133" s="503"/>
      <c r="M133" s="503"/>
      <c r="N133" s="504"/>
      <c r="O133" s="502">
        <f>IF(G133&gt;C133,G133-C133,0)</f>
        <v>0</v>
      </c>
      <c r="P133" s="503"/>
      <c r="Q133" s="503"/>
      <c r="R133" s="504"/>
      <c r="S133" s="32"/>
      <c r="T133" s="483"/>
      <c r="U133" s="483"/>
      <c r="V133" s="483"/>
      <c r="W133" s="483"/>
      <c r="X133" s="483"/>
      <c r="Y133" s="483"/>
      <c r="Z133" s="483"/>
      <c r="AA133" s="483"/>
      <c r="AB133" s="160"/>
      <c r="AC133" s="160"/>
      <c r="AD133" s="161"/>
      <c r="AE133" s="161"/>
      <c r="AF133" s="161"/>
    </row>
    <row r="134" spans="1:32" ht="30.75" customHeight="1">
      <c r="A134" s="141">
        <v>10603</v>
      </c>
      <c r="B134" s="133" t="s">
        <v>207</v>
      </c>
      <c r="C134" s="496"/>
      <c r="D134" s="497"/>
      <c r="E134" s="497"/>
      <c r="F134" s="498"/>
      <c r="G134" s="496"/>
      <c r="H134" s="497"/>
      <c r="I134" s="497"/>
      <c r="J134" s="498"/>
      <c r="K134" s="505">
        <f t="shared" ref="K134:K158" si="10">IF(C134&gt;G134,C134-G134,0)</f>
        <v>0</v>
      </c>
      <c r="L134" s="503"/>
      <c r="M134" s="503"/>
      <c r="N134" s="504"/>
      <c r="O134" s="502">
        <f t="shared" ref="O134:O158" si="11">IF(G134&gt;C134,G134-C134,0)</f>
        <v>0</v>
      </c>
      <c r="P134" s="503"/>
      <c r="Q134" s="503"/>
      <c r="R134" s="504"/>
      <c r="S134" s="32"/>
      <c r="T134" s="483"/>
      <c r="U134" s="483"/>
      <c r="V134" s="483"/>
      <c r="W134" s="483"/>
      <c r="X134" s="483"/>
      <c r="Y134" s="483"/>
      <c r="Z134" s="483"/>
      <c r="AA134" s="483"/>
      <c r="AB134" s="160"/>
      <c r="AC134" s="160"/>
      <c r="AD134" s="161"/>
      <c r="AE134" s="161"/>
      <c r="AF134" s="161"/>
    </row>
    <row r="135" spans="1:32" ht="30.75" customHeight="1">
      <c r="A135" s="141">
        <v>10604</v>
      </c>
      <c r="B135" s="133" t="s">
        <v>220</v>
      </c>
      <c r="C135" s="496"/>
      <c r="D135" s="497"/>
      <c r="E135" s="497"/>
      <c r="F135" s="498"/>
      <c r="G135" s="496"/>
      <c r="H135" s="497"/>
      <c r="I135" s="497"/>
      <c r="J135" s="498"/>
      <c r="K135" s="505">
        <f t="shared" si="10"/>
        <v>0</v>
      </c>
      <c r="L135" s="503"/>
      <c r="M135" s="503"/>
      <c r="N135" s="504"/>
      <c r="O135" s="502">
        <f t="shared" si="11"/>
        <v>0</v>
      </c>
      <c r="P135" s="503"/>
      <c r="Q135" s="503"/>
      <c r="R135" s="504"/>
      <c r="S135" s="32"/>
      <c r="T135" s="483"/>
      <c r="U135" s="483"/>
      <c r="V135" s="483"/>
      <c r="W135" s="483"/>
      <c r="X135" s="483"/>
      <c r="Y135" s="483"/>
      <c r="Z135" s="483"/>
      <c r="AA135" s="483"/>
      <c r="AB135" s="160"/>
      <c r="AC135" s="160"/>
      <c r="AD135" s="161"/>
      <c r="AE135" s="161"/>
      <c r="AF135" s="161"/>
    </row>
    <row r="136" spans="1:32" ht="30.75" customHeight="1">
      <c r="A136" s="141">
        <v>10605</v>
      </c>
      <c r="B136" s="133" t="s">
        <v>208</v>
      </c>
      <c r="C136" s="496"/>
      <c r="D136" s="497"/>
      <c r="E136" s="497"/>
      <c r="F136" s="498"/>
      <c r="G136" s="496"/>
      <c r="H136" s="497"/>
      <c r="I136" s="497"/>
      <c r="J136" s="498"/>
      <c r="K136" s="505">
        <f t="shared" si="10"/>
        <v>0</v>
      </c>
      <c r="L136" s="503"/>
      <c r="M136" s="503"/>
      <c r="N136" s="504"/>
      <c r="O136" s="502">
        <f t="shared" si="11"/>
        <v>0</v>
      </c>
      <c r="P136" s="503"/>
      <c r="Q136" s="503"/>
      <c r="R136" s="504"/>
      <c r="S136" s="32"/>
      <c r="T136" s="483"/>
      <c r="U136" s="483"/>
      <c r="V136" s="483"/>
      <c r="W136" s="483"/>
      <c r="X136" s="483"/>
      <c r="Y136" s="483"/>
      <c r="Z136" s="483"/>
      <c r="AA136" s="483"/>
      <c r="AB136" s="160"/>
      <c r="AC136" s="160"/>
      <c r="AD136" s="161"/>
      <c r="AE136" s="161"/>
      <c r="AF136" s="161"/>
    </row>
    <row r="137" spans="1:32" ht="30.75" customHeight="1">
      <c r="A137" s="141">
        <v>10606</v>
      </c>
      <c r="B137" s="133" t="s">
        <v>209</v>
      </c>
      <c r="C137" s="496"/>
      <c r="D137" s="497"/>
      <c r="E137" s="497"/>
      <c r="F137" s="498"/>
      <c r="G137" s="496"/>
      <c r="H137" s="497"/>
      <c r="I137" s="497"/>
      <c r="J137" s="498"/>
      <c r="K137" s="505">
        <f t="shared" si="10"/>
        <v>0</v>
      </c>
      <c r="L137" s="503"/>
      <c r="M137" s="503"/>
      <c r="N137" s="504"/>
      <c r="O137" s="502">
        <f t="shared" si="11"/>
        <v>0</v>
      </c>
      <c r="P137" s="503"/>
      <c r="Q137" s="503"/>
      <c r="R137" s="504"/>
      <c r="S137" s="32"/>
      <c r="T137" s="483" t="str">
        <f>IF(G137-C137=K136+K139," "," مغایرت مانده درآمد عمومی وصولی با مانده بانک تمرکز وجوه درآمد عمومی ودرآمد عمومی ارسالی")</f>
        <v xml:space="preserve"> </v>
      </c>
      <c r="U137" s="483"/>
      <c r="V137" s="483"/>
      <c r="W137" s="483"/>
      <c r="X137" s="483"/>
      <c r="Y137" s="483"/>
      <c r="Z137" s="483"/>
      <c r="AA137" s="483"/>
      <c r="AB137" s="483"/>
      <c r="AC137" s="483"/>
      <c r="AD137" s="161"/>
      <c r="AE137" s="161"/>
      <c r="AF137" s="161"/>
    </row>
    <row r="138" spans="1:32" ht="30.75" customHeight="1">
      <c r="A138" s="141">
        <v>10607</v>
      </c>
      <c r="B138" s="133" t="s">
        <v>210</v>
      </c>
      <c r="C138" s="496"/>
      <c r="D138" s="497"/>
      <c r="E138" s="497"/>
      <c r="F138" s="498"/>
      <c r="G138" s="496"/>
      <c r="H138" s="497"/>
      <c r="I138" s="497"/>
      <c r="J138" s="498"/>
      <c r="K138" s="505">
        <f t="shared" si="10"/>
        <v>0</v>
      </c>
      <c r="L138" s="503"/>
      <c r="M138" s="503"/>
      <c r="N138" s="504"/>
      <c r="O138" s="502">
        <f t="shared" si="11"/>
        <v>0</v>
      </c>
      <c r="P138" s="503"/>
      <c r="Q138" s="503"/>
      <c r="R138" s="504"/>
      <c r="S138" s="32"/>
      <c r="T138" s="483"/>
      <c r="U138" s="483"/>
      <c r="V138" s="483"/>
      <c r="W138" s="483"/>
      <c r="X138" s="483"/>
      <c r="Y138" s="483"/>
      <c r="Z138" s="483"/>
      <c r="AA138" s="483"/>
      <c r="AB138" s="160"/>
      <c r="AC138" s="160"/>
      <c r="AD138" s="161"/>
      <c r="AE138" s="161"/>
      <c r="AF138" s="161"/>
    </row>
    <row r="139" spans="1:32" ht="30.75" customHeight="1">
      <c r="A139" s="141">
        <v>10608</v>
      </c>
      <c r="B139" s="133" t="s">
        <v>211</v>
      </c>
      <c r="C139" s="496"/>
      <c r="D139" s="497"/>
      <c r="E139" s="497"/>
      <c r="F139" s="498"/>
      <c r="G139" s="496"/>
      <c r="H139" s="497"/>
      <c r="I139" s="497"/>
      <c r="J139" s="498"/>
      <c r="K139" s="505">
        <f t="shared" si="10"/>
        <v>0</v>
      </c>
      <c r="L139" s="503"/>
      <c r="M139" s="503"/>
      <c r="N139" s="504"/>
      <c r="O139" s="502">
        <f t="shared" si="11"/>
        <v>0</v>
      </c>
      <c r="P139" s="503"/>
      <c r="Q139" s="503"/>
      <c r="R139" s="504"/>
      <c r="S139" s="32"/>
      <c r="T139" s="483" t="str">
        <f>IF(C139-G139=C138," ","مغایرت مانده درآمد عمومی ارسالی با خزانه تمرکز وجوه درآمد عمومی")</f>
        <v xml:space="preserve"> </v>
      </c>
      <c r="U139" s="483"/>
      <c r="V139" s="483"/>
      <c r="W139" s="483"/>
      <c r="X139" s="483"/>
      <c r="Y139" s="483"/>
      <c r="Z139" s="483"/>
      <c r="AA139" s="483"/>
      <c r="AB139" s="160"/>
      <c r="AC139" s="160"/>
      <c r="AD139" s="161"/>
      <c r="AE139" s="161"/>
      <c r="AF139" s="161"/>
    </row>
    <row r="140" spans="1:32" ht="30.75" customHeight="1">
      <c r="A140" s="141">
        <v>10609</v>
      </c>
      <c r="B140" s="133" t="s">
        <v>217</v>
      </c>
      <c r="C140" s="496"/>
      <c r="D140" s="497"/>
      <c r="E140" s="497"/>
      <c r="F140" s="498"/>
      <c r="G140" s="496"/>
      <c r="H140" s="497"/>
      <c r="I140" s="497"/>
      <c r="J140" s="498"/>
      <c r="K140" s="505">
        <f t="shared" si="10"/>
        <v>0</v>
      </c>
      <c r="L140" s="503"/>
      <c r="M140" s="503"/>
      <c r="N140" s="504"/>
      <c r="O140" s="502">
        <f t="shared" si="11"/>
        <v>0</v>
      </c>
      <c r="P140" s="503"/>
      <c r="Q140" s="503"/>
      <c r="R140" s="504"/>
      <c r="S140" s="32"/>
      <c r="T140" s="483"/>
      <c r="U140" s="483"/>
      <c r="V140" s="483"/>
      <c r="W140" s="483"/>
      <c r="X140" s="483"/>
      <c r="Y140" s="483"/>
      <c r="Z140" s="483"/>
      <c r="AA140" s="483"/>
      <c r="AB140" s="160"/>
      <c r="AC140" s="160"/>
      <c r="AD140" s="161"/>
      <c r="AE140" s="161"/>
      <c r="AF140" s="161"/>
    </row>
    <row r="141" spans="1:32" ht="30.75" customHeight="1">
      <c r="A141" s="141">
        <v>10610</v>
      </c>
      <c r="B141" s="133" t="s">
        <v>218</v>
      </c>
      <c r="C141" s="496"/>
      <c r="D141" s="497"/>
      <c r="E141" s="497"/>
      <c r="F141" s="498"/>
      <c r="G141" s="496"/>
      <c r="H141" s="497"/>
      <c r="I141" s="497"/>
      <c r="J141" s="498"/>
      <c r="K141" s="505">
        <f t="shared" si="10"/>
        <v>0</v>
      </c>
      <c r="L141" s="503"/>
      <c r="M141" s="503"/>
      <c r="N141" s="504"/>
      <c r="O141" s="502">
        <f t="shared" si="11"/>
        <v>0</v>
      </c>
      <c r="P141" s="503"/>
      <c r="Q141" s="503"/>
      <c r="R141" s="504"/>
      <c r="S141" s="32"/>
      <c r="T141" s="483"/>
      <c r="U141" s="483"/>
      <c r="V141" s="483"/>
      <c r="W141" s="483"/>
      <c r="X141" s="483"/>
      <c r="Y141" s="483"/>
      <c r="Z141" s="483"/>
      <c r="AA141" s="483"/>
      <c r="AB141" s="160"/>
      <c r="AC141" s="160"/>
      <c r="AD141" s="161"/>
      <c r="AE141" s="161"/>
      <c r="AF141" s="161"/>
    </row>
    <row r="142" spans="1:32" ht="30.75" customHeight="1">
      <c r="A142" s="141">
        <v>10611</v>
      </c>
      <c r="B142" s="133" t="s">
        <v>219</v>
      </c>
      <c r="C142" s="496"/>
      <c r="D142" s="497"/>
      <c r="E142" s="497"/>
      <c r="F142" s="498"/>
      <c r="G142" s="496"/>
      <c r="H142" s="497"/>
      <c r="I142" s="497"/>
      <c r="J142" s="498"/>
      <c r="K142" s="505">
        <f t="shared" si="10"/>
        <v>0</v>
      </c>
      <c r="L142" s="503"/>
      <c r="M142" s="503"/>
      <c r="N142" s="504"/>
      <c r="O142" s="502">
        <f t="shared" si="11"/>
        <v>0</v>
      </c>
      <c r="P142" s="503"/>
      <c r="Q142" s="503"/>
      <c r="R142" s="504"/>
      <c r="S142" s="32"/>
      <c r="T142" s="483"/>
      <c r="U142" s="483"/>
      <c r="V142" s="483"/>
      <c r="W142" s="483"/>
      <c r="X142" s="483"/>
      <c r="Y142" s="483"/>
      <c r="Z142" s="483"/>
      <c r="AA142" s="483"/>
      <c r="AB142" s="160"/>
      <c r="AC142" s="160"/>
      <c r="AD142" s="161"/>
      <c r="AE142" s="161"/>
      <c r="AF142" s="161"/>
    </row>
    <row r="143" spans="1:32" ht="30.75" customHeight="1">
      <c r="A143" s="141">
        <v>10612</v>
      </c>
      <c r="B143" s="133" t="s">
        <v>446</v>
      </c>
      <c r="C143" s="496"/>
      <c r="D143" s="497"/>
      <c r="E143" s="497"/>
      <c r="F143" s="498"/>
      <c r="G143" s="496"/>
      <c r="H143" s="497"/>
      <c r="I143" s="497"/>
      <c r="J143" s="498"/>
      <c r="K143" s="505">
        <f t="shared" si="10"/>
        <v>0</v>
      </c>
      <c r="L143" s="503"/>
      <c r="M143" s="503"/>
      <c r="N143" s="504"/>
      <c r="O143" s="502">
        <f t="shared" si="11"/>
        <v>0</v>
      </c>
      <c r="P143" s="503"/>
      <c r="Q143" s="503"/>
      <c r="R143" s="504"/>
      <c r="S143" s="32"/>
      <c r="T143" s="483"/>
      <c r="U143" s="483"/>
      <c r="V143" s="483"/>
      <c r="W143" s="483"/>
      <c r="X143" s="483"/>
      <c r="Y143" s="483"/>
      <c r="Z143" s="483"/>
      <c r="AA143" s="483"/>
      <c r="AB143" s="160"/>
      <c r="AC143" s="160"/>
      <c r="AD143" s="161"/>
      <c r="AE143" s="161"/>
      <c r="AF143" s="161"/>
    </row>
    <row r="144" spans="1:32" ht="30.75" customHeight="1">
      <c r="A144" s="141">
        <v>10613</v>
      </c>
      <c r="B144" s="133" t="s">
        <v>213</v>
      </c>
      <c r="C144" s="496"/>
      <c r="D144" s="497"/>
      <c r="E144" s="497"/>
      <c r="F144" s="498"/>
      <c r="G144" s="496"/>
      <c r="H144" s="497"/>
      <c r="I144" s="497"/>
      <c r="J144" s="498"/>
      <c r="K144" s="505">
        <f t="shared" si="10"/>
        <v>0</v>
      </c>
      <c r="L144" s="503"/>
      <c r="M144" s="503"/>
      <c r="N144" s="504"/>
      <c r="O144" s="502">
        <f t="shared" si="11"/>
        <v>0</v>
      </c>
      <c r="P144" s="503"/>
      <c r="Q144" s="503"/>
      <c r="R144" s="504"/>
      <c r="S144" s="32"/>
      <c r="T144" s="483"/>
      <c r="U144" s="483"/>
      <c r="V144" s="483"/>
      <c r="W144" s="483"/>
      <c r="X144" s="483"/>
      <c r="Y144" s="483"/>
      <c r="Z144" s="483"/>
      <c r="AA144" s="483"/>
      <c r="AB144" s="160"/>
      <c r="AC144" s="160"/>
      <c r="AD144" s="161"/>
      <c r="AE144" s="161"/>
      <c r="AF144" s="161"/>
    </row>
    <row r="145" spans="1:32" ht="30.75" customHeight="1">
      <c r="A145" s="141">
        <v>10614</v>
      </c>
      <c r="B145" s="133" t="s">
        <v>447</v>
      </c>
      <c r="C145" s="496"/>
      <c r="D145" s="497"/>
      <c r="E145" s="497"/>
      <c r="F145" s="498"/>
      <c r="G145" s="496"/>
      <c r="H145" s="497"/>
      <c r="I145" s="497"/>
      <c r="J145" s="498"/>
      <c r="K145" s="505">
        <f t="shared" si="10"/>
        <v>0</v>
      </c>
      <c r="L145" s="503"/>
      <c r="M145" s="503"/>
      <c r="N145" s="504"/>
      <c r="O145" s="502">
        <f t="shared" si="11"/>
        <v>0</v>
      </c>
      <c r="P145" s="503"/>
      <c r="Q145" s="503"/>
      <c r="R145" s="504"/>
      <c r="S145" s="32"/>
      <c r="T145" s="483"/>
      <c r="U145" s="483"/>
      <c r="V145" s="483"/>
      <c r="W145" s="483"/>
      <c r="X145" s="483"/>
      <c r="Y145" s="483"/>
      <c r="Z145" s="483"/>
      <c r="AA145" s="483"/>
      <c r="AB145" s="160"/>
      <c r="AC145" s="160"/>
      <c r="AD145" s="161"/>
      <c r="AE145" s="161"/>
      <c r="AF145" s="161"/>
    </row>
    <row r="146" spans="1:32" ht="30.75" customHeight="1">
      <c r="A146" s="141">
        <v>10615</v>
      </c>
      <c r="B146" s="133" t="s">
        <v>214</v>
      </c>
      <c r="C146" s="496"/>
      <c r="D146" s="497"/>
      <c r="E146" s="497"/>
      <c r="F146" s="498"/>
      <c r="G146" s="496"/>
      <c r="H146" s="497"/>
      <c r="I146" s="497"/>
      <c r="J146" s="498"/>
      <c r="K146" s="505">
        <f t="shared" si="10"/>
        <v>0</v>
      </c>
      <c r="L146" s="503"/>
      <c r="M146" s="503"/>
      <c r="N146" s="504"/>
      <c r="O146" s="502">
        <f t="shared" si="11"/>
        <v>0</v>
      </c>
      <c r="P146" s="503"/>
      <c r="Q146" s="503"/>
      <c r="R146" s="504"/>
      <c r="S146" s="32"/>
      <c r="T146" s="483"/>
      <c r="U146" s="483"/>
      <c r="V146" s="483"/>
      <c r="W146" s="483"/>
      <c r="X146" s="483"/>
      <c r="Y146" s="483"/>
      <c r="Z146" s="483"/>
      <c r="AA146" s="483"/>
      <c r="AB146" s="160"/>
      <c r="AC146" s="160"/>
      <c r="AD146" s="161"/>
      <c r="AE146" s="161"/>
      <c r="AF146" s="161"/>
    </row>
    <row r="147" spans="1:32" ht="30.75" customHeight="1">
      <c r="A147" s="141">
        <v>10616</v>
      </c>
      <c r="B147" s="133" t="s">
        <v>215</v>
      </c>
      <c r="C147" s="496"/>
      <c r="D147" s="497"/>
      <c r="E147" s="497"/>
      <c r="F147" s="498"/>
      <c r="G147" s="496"/>
      <c r="H147" s="497"/>
      <c r="I147" s="497"/>
      <c r="J147" s="498"/>
      <c r="K147" s="505">
        <f t="shared" si="10"/>
        <v>0</v>
      </c>
      <c r="L147" s="503"/>
      <c r="M147" s="503"/>
      <c r="N147" s="504"/>
      <c r="O147" s="502">
        <f t="shared" si="11"/>
        <v>0</v>
      </c>
      <c r="P147" s="503"/>
      <c r="Q147" s="503"/>
      <c r="R147" s="504"/>
      <c r="S147" s="32"/>
      <c r="T147" s="483"/>
      <c r="U147" s="483"/>
      <c r="V147" s="483"/>
      <c r="W147" s="483"/>
      <c r="X147" s="483"/>
      <c r="Y147" s="483"/>
      <c r="Z147" s="483"/>
      <c r="AA147" s="483"/>
      <c r="AB147" s="160"/>
      <c r="AC147" s="160"/>
      <c r="AD147" s="161"/>
      <c r="AE147" s="161"/>
      <c r="AF147" s="161"/>
    </row>
    <row r="148" spans="1:32" ht="30.75" customHeight="1">
      <c r="A148" s="141">
        <v>10617</v>
      </c>
      <c r="B148" s="133" t="s">
        <v>216</v>
      </c>
      <c r="C148" s="496"/>
      <c r="D148" s="497"/>
      <c r="E148" s="497"/>
      <c r="F148" s="498"/>
      <c r="G148" s="496"/>
      <c r="H148" s="497"/>
      <c r="I148" s="497"/>
      <c r="J148" s="498"/>
      <c r="K148" s="505">
        <f t="shared" si="10"/>
        <v>0</v>
      </c>
      <c r="L148" s="503"/>
      <c r="M148" s="503"/>
      <c r="N148" s="504"/>
      <c r="O148" s="502">
        <f t="shared" si="11"/>
        <v>0</v>
      </c>
      <c r="P148" s="503"/>
      <c r="Q148" s="503"/>
      <c r="R148" s="504"/>
      <c r="S148" s="32"/>
      <c r="T148" s="483"/>
      <c r="U148" s="483"/>
      <c r="V148" s="483"/>
      <c r="W148" s="483"/>
      <c r="X148" s="483"/>
      <c r="Y148" s="483"/>
      <c r="Z148" s="483"/>
      <c r="AA148" s="483"/>
      <c r="AB148" s="160"/>
      <c r="AC148" s="160"/>
      <c r="AD148" s="161"/>
      <c r="AE148" s="161"/>
      <c r="AF148" s="161"/>
    </row>
    <row r="149" spans="1:32" ht="30.75" customHeight="1">
      <c r="A149" s="141">
        <v>10618</v>
      </c>
      <c r="B149" s="133" t="s">
        <v>212</v>
      </c>
      <c r="C149" s="496"/>
      <c r="D149" s="497"/>
      <c r="E149" s="497"/>
      <c r="F149" s="498"/>
      <c r="G149" s="496"/>
      <c r="H149" s="497"/>
      <c r="I149" s="497"/>
      <c r="J149" s="498"/>
      <c r="K149" s="505">
        <f t="shared" si="10"/>
        <v>0</v>
      </c>
      <c r="L149" s="503"/>
      <c r="M149" s="503"/>
      <c r="N149" s="504"/>
      <c r="O149" s="502">
        <f t="shared" si="11"/>
        <v>0</v>
      </c>
      <c r="P149" s="503"/>
      <c r="Q149" s="503"/>
      <c r="R149" s="504"/>
      <c r="S149" s="32"/>
      <c r="T149" s="483"/>
      <c r="U149" s="483"/>
      <c r="V149" s="483"/>
      <c r="W149" s="483"/>
      <c r="X149" s="483"/>
      <c r="Y149" s="483"/>
      <c r="Z149" s="483"/>
      <c r="AA149" s="483"/>
      <c r="AB149" s="160"/>
      <c r="AC149" s="160"/>
      <c r="AD149" s="161"/>
      <c r="AE149" s="161"/>
      <c r="AF149" s="161"/>
    </row>
    <row r="150" spans="1:32" ht="30.75" customHeight="1">
      <c r="A150" s="141">
        <v>10619</v>
      </c>
      <c r="B150" s="133" t="s">
        <v>448</v>
      </c>
      <c r="C150" s="496"/>
      <c r="D150" s="497"/>
      <c r="E150" s="497"/>
      <c r="F150" s="498"/>
      <c r="G150" s="496"/>
      <c r="H150" s="497"/>
      <c r="I150" s="497"/>
      <c r="J150" s="498"/>
      <c r="K150" s="505">
        <f t="shared" si="10"/>
        <v>0</v>
      </c>
      <c r="L150" s="503"/>
      <c r="M150" s="503"/>
      <c r="N150" s="504"/>
      <c r="O150" s="502">
        <f t="shared" si="11"/>
        <v>0</v>
      </c>
      <c r="P150" s="503"/>
      <c r="Q150" s="503"/>
      <c r="R150" s="504"/>
      <c r="S150" s="32"/>
      <c r="T150" s="483"/>
      <c r="U150" s="483"/>
      <c r="V150" s="483"/>
      <c r="W150" s="483"/>
      <c r="X150" s="483"/>
      <c r="Y150" s="483"/>
      <c r="Z150" s="483"/>
      <c r="AA150" s="483"/>
      <c r="AB150" s="160"/>
      <c r="AC150" s="160"/>
      <c r="AD150" s="161"/>
      <c r="AE150" s="161"/>
      <c r="AF150" s="161"/>
    </row>
    <row r="151" spans="1:32" ht="30.75" customHeight="1">
      <c r="A151" s="141">
        <v>10620</v>
      </c>
      <c r="B151" s="133" t="s">
        <v>449</v>
      </c>
      <c r="C151" s="496"/>
      <c r="D151" s="497"/>
      <c r="E151" s="497"/>
      <c r="F151" s="498"/>
      <c r="G151" s="496"/>
      <c r="H151" s="497"/>
      <c r="I151" s="497"/>
      <c r="J151" s="498"/>
      <c r="K151" s="505">
        <f t="shared" si="10"/>
        <v>0</v>
      </c>
      <c r="L151" s="503"/>
      <c r="M151" s="503"/>
      <c r="N151" s="504"/>
      <c r="O151" s="502">
        <f t="shared" si="11"/>
        <v>0</v>
      </c>
      <c r="P151" s="503"/>
      <c r="Q151" s="503"/>
      <c r="R151" s="504"/>
      <c r="S151" s="32"/>
      <c r="T151" s="483"/>
      <c r="U151" s="483"/>
      <c r="V151" s="483"/>
      <c r="W151" s="483"/>
      <c r="X151" s="483"/>
      <c r="Y151" s="483"/>
      <c r="Z151" s="483"/>
      <c r="AA151" s="483"/>
      <c r="AB151" s="160"/>
      <c r="AC151" s="160"/>
      <c r="AD151" s="161"/>
      <c r="AE151" s="161"/>
      <c r="AF151" s="161"/>
    </row>
    <row r="152" spans="1:32" ht="30.75" customHeight="1">
      <c r="A152" s="141">
        <v>10621</v>
      </c>
      <c r="B152" s="133" t="s">
        <v>450</v>
      </c>
      <c r="C152" s="496"/>
      <c r="D152" s="497"/>
      <c r="E152" s="497"/>
      <c r="F152" s="498"/>
      <c r="G152" s="496"/>
      <c r="H152" s="497"/>
      <c r="I152" s="497"/>
      <c r="J152" s="498"/>
      <c r="K152" s="505">
        <f t="shared" si="10"/>
        <v>0</v>
      </c>
      <c r="L152" s="503"/>
      <c r="M152" s="503"/>
      <c r="N152" s="504"/>
      <c r="O152" s="502">
        <f t="shared" si="11"/>
        <v>0</v>
      </c>
      <c r="P152" s="503"/>
      <c r="Q152" s="503"/>
      <c r="R152" s="504"/>
      <c r="S152" s="32"/>
      <c r="T152" s="483"/>
      <c r="U152" s="483"/>
      <c r="V152" s="483"/>
      <c r="W152" s="483"/>
      <c r="X152" s="483"/>
      <c r="Y152" s="483"/>
      <c r="Z152" s="483"/>
      <c r="AA152" s="483"/>
      <c r="AB152" s="160"/>
      <c r="AC152" s="160"/>
      <c r="AD152" s="161"/>
      <c r="AE152" s="161"/>
      <c r="AF152" s="161"/>
    </row>
    <row r="153" spans="1:32" ht="30.75" customHeight="1">
      <c r="A153" s="141">
        <v>10622</v>
      </c>
      <c r="B153" s="133" t="s">
        <v>221</v>
      </c>
      <c r="C153" s="496"/>
      <c r="D153" s="497"/>
      <c r="E153" s="497"/>
      <c r="F153" s="498"/>
      <c r="G153" s="496"/>
      <c r="H153" s="497"/>
      <c r="I153" s="497"/>
      <c r="J153" s="498"/>
      <c r="K153" s="505">
        <f t="shared" si="10"/>
        <v>0</v>
      </c>
      <c r="L153" s="503"/>
      <c r="M153" s="503"/>
      <c r="N153" s="504"/>
      <c r="O153" s="502">
        <f t="shared" si="11"/>
        <v>0</v>
      </c>
      <c r="P153" s="503"/>
      <c r="Q153" s="503"/>
      <c r="R153" s="504"/>
      <c r="S153" s="32"/>
      <c r="T153" s="483" t="str">
        <f>IF(G153-C153=K154+K155," ","مغایرت مانده تنخواه گردان رد وجوه اضافه دریافتی با مانده بانک رد وجوه اضافه دریافتی و وجوه اضافه دریافتی استردادی")</f>
        <v xml:space="preserve"> </v>
      </c>
      <c r="U153" s="483"/>
      <c r="V153" s="483"/>
      <c r="W153" s="483"/>
      <c r="X153" s="483"/>
      <c r="Y153" s="483"/>
      <c r="Z153" s="483"/>
      <c r="AA153" s="483"/>
      <c r="AB153" s="483"/>
      <c r="AC153" s="483"/>
      <c r="AD153" s="483"/>
      <c r="AE153" s="483"/>
      <c r="AF153" s="161"/>
    </row>
    <row r="154" spans="1:32" ht="30.75" customHeight="1">
      <c r="A154" s="141">
        <v>10623</v>
      </c>
      <c r="B154" s="133" t="s">
        <v>222</v>
      </c>
      <c r="C154" s="496"/>
      <c r="D154" s="497"/>
      <c r="E154" s="497"/>
      <c r="F154" s="498"/>
      <c r="G154" s="496"/>
      <c r="H154" s="497"/>
      <c r="I154" s="497"/>
      <c r="J154" s="498"/>
      <c r="K154" s="505">
        <f t="shared" si="10"/>
        <v>0</v>
      </c>
      <c r="L154" s="503"/>
      <c r="M154" s="503"/>
      <c r="N154" s="504"/>
      <c r="O154" s="502">
        <f t="shared" si="11"/>
        <v>0</v>
      </c>
      <c r="P154" s="503"/>
      <c r="Q154" s="503"/>
      <c r="R154" s="504"/>
      <c r="S154" s="32"/>
      <c r="T154" s="483"/>
      <c r="U154" s="483"/>
      <c r="V154" s="483"/>
      <c r="W154" s="483"/>
      <c r="X154" s="483"/>
      <c r="Y154" s="483"/>
      <c r="Z154" s="483"/>
      <c r="AA154" s="483"/>
      <c r="AB154" s="160"/>
      <c r="AC154" s="160"/>
      <c r="AD154" s="161"/>
      <c r="AE154" s="161"/>
      <c r="AF154" s="161"/>
    </row>
    <row r="155" spans="1:32" ht="30.75" customHeight="1">
      <c r="A155" s="141">
        <v>10624</v>
      </c>
      <c r="B155" s="133" t="s">
        <v>223</v>
      </c>
      <c r="C155" s="496"/>
      <c r="D155" s="497"/>
      <c r="E155" s="497"/>
      <c r="F155" s="498"/>
      <c r="G155" s="496"/>
      <c r="H155" s="497"/>
      <c r="I155" s="497"/>
      <c r="J155" s="498"/>
      <c r="K155" s="505">
        <f t="shared" si="10"/>
        <v>0</v>
      </c>
      <c r="L155" s="503"/>
      <c r="M155" s="503"/>
      <c r="N155" s="504"/>
      <c r="O155" s="502">
        <f t="shared" si="11"/>
        <v>0</v>
      </c>
      <c r="P155" s="503"/>
      <c r="Q155" s="503"/>
      <c r="R155" s="504"/>
      <c r="S155" s="32"/>
      <c r="T155" s="483"/>
      <c r="U155" s="483"/>
      <c r="V155" s="483"/>
      <c r="W155" s="483"/>
      <c r="X155" s="483"/>
      <c r="Y155" s="483"/>
      <c r="Z155" s="483"/>
      <c r="AA155" s="483"/>
      <c r="AB155" s="160"/>
      <c r="AC155" s="160"/>
      <c r="AD155" s="161"/>
      <c r="AE155" s="161"/>
      <c r="AF155" s="161"/>
    </row>
    <row r="156" spans="1:32" ht="30.75" customHeight="1">
      <c r="A156" s="141">
        <v>10625</v>
      </c>
      <c r="B156" s="133" t="s">
        <v>224</v>
      </c>
      <c r="C156" s="496"/>
      <c r="D156" s="497"/>
      <c r="E156" s="497"/>
      <c r="F156" s="498"/>
      <c r="G156" s="496"/>
      <c r="H156" s="497"/>
      <c r="I156" s="497"/>
      <c r="J156" s="498"/>
      <c r="K156" s="505">
        <f t="shared" si="10"/>
        <v>0</v>
      </c>
      <c r="L156" s="503"/>
      <c r="M156" s="503"/>
      <c r="N156" s="504"/>
      <c r="O156" s="502">
        <f t="shared" si="11"/>
        <v>0</v>
      </c>
      <c r="P156" s="503"/>
      <c r="Q156" s="503"/>
      <c r="R156" s="504"/>
      <c r="S156" s="32"/>
      <c r="T156" s="483"/>
      <c r="U156" s="483"/>
      <c r="V156" s="483"/>
      <c r="W156" s="483"/>
      <c r="X156" s="483"/>
      <c r="Y156" s="483"/>
      <c r="Z156" s="483"/>
      <c r="AA156" s="483"/>
      <c r="AB156" s="160"/>
      <c r="AC156" s="160"/>
      <c r="AD156" s="161"/>
      <c r="AE156" s="161"/>
      <c r="AF156" s="161"/>
    </row>
    <row r="157" spans="1:32" ht="30.75" customHeight="1">
      <c r="A157" s="141">
        <v>10626</v>
      </c>
      <c r="B157" s="133" t="s">
        <v>225</v>
      </c>
      <c r="C157" s="496"/>
      <c r="D157" s="497"/>
      <c r="E157" s="497"/>
      <c r="F157" s="498"/>
      <c r="G157" s="496"/>
      <c r="H157" s="497"/>
      <c r="I157" s="497"/>
      <c r="J157" s="498"/>
      <c r="K157" s="505">
        <f t="shared" si="10"/>
        <v>0</v>
      </c>
      <c r="L157" s="503"/>
      <c r="M157" s="503"/>
      <c r="N157" s="504"/>
      <c r="O157" s="502">
        <f t="shared" si="11"/>
        <v>0</v>
      </c>
      <c r="P157" s="503"/>
      <c r="Q157" s="503"/>
      <c r="R157" s="504"/>
      <c r="S157" s="32"/>
      <c r="T157" s="483"/>
      <c r="U157" s="483"/>
      <c r="V157" s="483"/>
      <c r="W157" s="483"/>
      <c r="X157" s="483"/>
      <c r="Y157" s="483"/>
      <c r="Z157" s="483"/>
      <c r="AA157" s="483"/>
      <c r="AB157" s="160"/>
      <c r="AC157" s="160"/>
      <c r="AD157" s="161"/>
      <c r="AE157" s="161"/>
      <c r="AF157" s="161"/>
    </row>
    <row r="158" spans="1:32" ht="30.75" customHeight="1" thickBot="1">
      <c r="A158" s="142">
        <v>10627</v>
      </c>
      <c r="B158" s="134" t="s">
        <v>226</v>
      </c>
      <c r="C158" s="496"/>
      <c r="D158" s="497"/>
      <c r="E158" s="497"/>
      <c r="F158" s="498"/>
      <c r="G158" s="496"/>
      <c r="H158" s="497"/>
      <c r="I158" s="497"/>
      <c r="J158" s="498"/>
      <c r="K158" s="548">
        <f t="shared" si="10"/>
        <v>0</v>
      </c>
      <c r="L158" s="549"/>
      <c r="M158" s="549"/>
      <c r="N158" s="550"/>
      <c r="O158" s="551">
        <f t="shared" si="11"/>
        <v>0</v>
      </c>
      <c r="P158" s="549"/>
      <c r="Q158" s="549"/>
      <c r="R158" s="550"/>
      <c r="S158" s="32"/>
      <c r="T158" s="483"/>
      <c r="U158" s="483"/>
      <c r="V158" s="483"/>
      <c r="W158" s="483"/>
      <c r="X158" s="483"/>
      <c r="Y158" s="483"/>
      <c r="Z158" s="483"/>
      <c r="AA158" s="483"/>
      <c r="AB158" s="160"/>
      <c r="AC158" s="160"/>
      <c r="AD158" s="161"/>
      <c r="AE158" s="161"/>
      <c r="AF158" s="161"/>
    </row>
    <row r="159" spans="1:32" ht="30.75" customHeight="1" thickBot="1">
      <c r="A159" s="529" t="s">
        <v>127</v>
      </c>
      <c r="B159" s="530"/>
      <c r="C159" s="516">
        <f>SUM(C132:F158)</f>
        <v>0</v>
      </c>
      <c r="D159" s="517"/>
      <c r="E159" s="517"/>
      <c r="F159" s="518"/>
      <c r="G159" s="516">
        <f>SUM(G132:J158)</f>
        <v>0</v>
      </c>
      <c r="H159" s="517"/>
      <c r="I159" s="517"/>
      <c r="J159" s="519"/>
      <c r="K159" s="520">
        <f>SUM(K132:N158)</f>
        <v>0</v>
      </c>
      <c r="L159" s="517"/>
      <c r="M159" s="517"/>
      <c r="N159" s="518"/>
      <c r="O159" s="521">
        <f>SUM(O132:R158)</f>
        <v>0</v>
      </c>
      <c r="P159" s="522"/>
      <c r="Q159" s="522"/>
      <c r="R159" s="523"/>
      <c r="S159" s="32"/>
      <c r="T159" s="481" t="str">
        <f>IF(K159=O159," "," مغایرت جمع مانده بدهکار با جمع مانده بستانکار")</f>
        <v xml:space="preserve"> </v>
      </c>
      <c r="U159" s="481"/>
      <c r="V159" s="481"/>
      <c r="W159" s="481"/>
      <c r="X159" s="481"/>
      <c r="Y159" s="481"/>
      <c r="Z159" s="481"/>
      <c r="AA159" s="481"/>
      <c r="AB159" s="160"/>
      <c r="AC159" s="160"/>
      <c r="AD159" s="161"/>
      <c r="AE159" s="161"/>
      <c r="AF159" s="161"/>
    </row>
    <row r="160" spans="1:32" s="2" customFormat="1" ht="28.5" thickBot="1">
      <c r="A160" s="140">
        <v>107</v>
      </c>
      <c r="B160" s="30"/>
      <c r="C160" s="499" t="s">
        <v>524</v>
      </c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N160" s="500"/>
      <c r="O160" s="500"/>
      <c r="P160" s="500"/>
      <c r="Q160" s="500"/>
      <c r="R160" s="501"/>
      <c r="S160" s="33"/>
      <c r="T160" s="483"/>
      <c r="U160" s="483"/>
      <c r="V160" s="483"/>
      <c r="W160" s="483"/>
      <c r="X160" s="483"/>
      <c r="Y160" s="483"/>
      <c r="Z160" s="483"/>
      <c r="AA160" s="483"/>
      <c r="AB160" s="96"/>
      <c r="AC160" s="96"/>
    </row>
    <row r="161" spans="1:34" ht="30.75" customHeight="1">
      <c r="A161" s="143">
        <v>10701</v>
      </c>
      <c r="B161" s="133" t="s">
        <v>227</v>
      </c>
      <c r="C161" s="496"/>
      <c r="D161" s="497"/>
      <c r="E161" s="497"/>
      <c r="F161" s="498"/>
      <c r="G161" s="496"/>
      <c r="H161" s="497"/>
      <c r="I161" s="497"/>
      <c r="J161" s="498"/>
      <c r="K161" s="505">
        <f>IF(C161&gt;G161,C161-G161,0)</f>
        <v>0</v>
      </c>
      <c r="L161" s="503"/>
      <c r="M161" s="503"/>
      <c r="N161" s="504"/>
      <c r="O161" s="502">
        <f>IF(G161&gt;C161,G161-C161,0)</f>
        <v>0</v>
      </c>
      <c r="P161" s="503"/>
      <c r="Q161" s="503"/>
      <c r="R161" s="504"/>
      <c r="S161" s="32"/>
      <c r="T161" s="482" t="str">
        <f>IF(C161-G161=G162-C162+G163-C163," "," مغایرت مانده واگذاري داراييهاي سرمايه اي واحد دستگاه با مانده واگذاري داراييهاي سرمايه اي پیش بینی شده و واگذاري داراييهاي سرمايه اي تحقق یافته")</f>
        <v xml:space="preserve"> </v>
      </c>
      <c r="U161" s="482"/>
      <c r="V161" s="482"/>
      <c r="W161" s="482"/>
      <c r="X161" s="482"/>
      <c r="Y161" s="482"/>
      <c r="Z161" s="482"/>
      <c r="AA161" s="482"/>
      <c r="AB161" s="482"/>
      <c r="AC161" s="482"/>
      <c r="AD161" s="482"/>
      <c r="AE161" s="482"/>
      <c r="AF161" s="482"/>
      <c r="AG161" s="482"/>
      <c r="AH161" s="482"/>
    </row>
    <row r="162" spans="1:34" ht="30.75" customHeight="1">
      <c r="A162" s="141">
        <v>10702</v>
      </c>
      <c r="B162" s="133" t="s">
        <v>228</v>
      </c>
      <c r="C162" s="496"/>
      <c r="D162" s="497"/>
      <c r="E162" s="497"/>
      <c r="F162" s="498"/>
      <c r="G162" s="496"/>
      <c r="H162" s="497"/>
      <c r="I162" s="497"/>
      <c r="J162" s="498"/>
      <c r="K162" s="505">
        <f>IF(C162&gt;G162,C162-G162,0)</f>
        <v>0</v>
      </c>
      <c r="L162" s="503"/>
      <c r="M162" s="503"/>
      <c r="N162" s="504"/>
      <c r="O162" s="502">
        <f>IF(G162&gt;C162,G162-C162,0)</f>
        <v>0</v>
      </c>
      <c r="P162" s="503"/>
      <c r="Q162" s="503"/>
      <c r="R162" s="504"/>
      <c r="S162" s="32"/>
      <c r="T162" s="483"/>
      <c r="U162" s="483"/>
      <c r="V162" s="483"/>
      <c r="W162" s="483"/>
      <c r="X162" s="483"/>
      <c r="Y162" s="483"/>
      <c r="Z162" s="483"/>
      <c r="AA162" s="483"/>
      <c r="AB162" s="160"/>
      <c r="AC162" s="160"/>
      <c r="AD162" s="161"/>
      <c r="AE162" s="161"/>
      <c r="AF162" s="161"/>
    </row>
    <row r="163" spans="1:34" ht="30.75" customHeight="1">
      <c r="A163" s="141">
        <v>10703</v>
      </c>
      <c r="B163" s="133" t="s">
        <v>229</v>
      </c>
      <c r="C163" s="496"/>
      <c r="D163" s="497"/>
      <c r="E163" s="497"/>
      <c r="F163" s="498"/>
      <c r="G163" s="496"/>
      <c r="H163" s="497"/>
      <c r="I163" s="497"/>
      <c r="J163" s="498"/>
      <c r="K163" s="505">
        <f t="shared" ref="K163:K178" si="12">IF(C163&gt;G163,C163-G163,0)</f>
        <v>0</v>
      </c>
      <c r="L163" s="503"/>
      <c r="M163" s="503"/>
      <c r="N163" s="504"/>
      <c r="O163" s="502">
        <f t="shared" ref="O163:O178" si="13">IF(G163&gt;C163,G163-C163,0)</f>
        <v>0</v>
      </c>
      <c r="P163" s="503"/>
      <c r="Q163" s="503"/>
      <c r="R163" s="504"/>
      <c r="S163" s="32"/>
      <c r="T163" s="483"/>
      <c r="U163" s="483"/>
      <c r="V163" s="483"/>
      <c r="W163" s="483"/>
      <c r="X163" s="483"/>
      <c r="Y163" s="483"/>
      <c r="Z163" s="483"/>
      <c r="AA163" s="483"/>
      <c r="AB163" s="160"/>
      <c r="AC163" s="160"/>
      <c r="AD163" s="161"/>
      <c r="AE163" s="161"/>
      <c r="AF163" s="161"/>
    </row>
    <row r="164" spans="1:34" ht="30.75" customHeight="1">
      <c r="A164" s="141">
        <v>10704</v>
      </c>
      <c r="B164" s="133" t="s">
        <v>451</v>
      </c>
      <c r="C164" s="496"/>
      <c r="D164" s="497"/>
      <c r="E164" s="497"/>
      <c r="F164" s="498"/>
      <c r="G164" s="496"/>
      <c r="H164" s="497"/>
      <c r="I164" s="497"/>
      <c r="J164" s="498"/>
      <c r="K164" s="505">
        <f t="shared" si="12"/>
        <v>0</v>
      </c>
      <c r="L164" s="503"/>
      <c r="M164" s="503"/>
      <c r="N164" s="504"/>
      <c r="O164" s="502">
        <f t="shared" si="13"/>
        <v>0</v>
      </c>
      <c r="P164" s="503"/>
      <c r="Q164" s="503"/>
      <c r="R164" s="504"/>
      <c r="S164" s="32"/>
      <c r="T164" s="483"/>
      <c r="U164" s="483"/>
      <c r="V164" s="483"/>
      <c r="W164" s="483"/>
      <c r="X164" s="483"/>
      <c r="Y164" s="483"/>
      <c r="Z164" s="483"/>
      <c r="AA164" s="483"/>
      <c r="AB164" s="160"/>
      <c r="AC164" s="160"/>
      <c r="AD164" s="161"/>
      <c r="AE164" s="161"/>
      <c r="AF164" s="161"/>
    </row>
    <row r="165" spans="1:34" ht="30.75" customHeight="1">
      <c r="A165" s="141">
        <v>10705</v>
      </c>
      <c r="B165" s="133" t="s">
        <v>452</v>
      </c>
      <c r="C165" s="496"/>
      <c r="D165" s="497"/>
      <c r="E165" s="497"/>
      <c r="F165" s="498"/>
      <c r="G165" s="496"/>
      <c r="H165" s="497"/>
      <c r="I165" s="497"/>
      <c r="J165" s="498"/>
      <c r="K165" s="505">
        <f t="shared" si="12"/>
        <v>0</v>
      </c>
      <c r="L165" s="503"/>
      <c r="M165" s="503"/>
      <c r="N165" s="504"/>
      <c r="O165" s="502">
        <f t="shared" si="13"/>
        <v>0</v>
      </c>
      <c r="P165" s="503"/>
      <c r="Q165" s="503"/>
      <c r="R165" s="504"/>
      <c r="S165" s="32"/>
      <c r="T165" s="483"/>
      <c r="U165" s="483"/>
      <c r="V165" s="483"/>
      <c r="W165" s="483"/>
      <c r="X165" s="483"/>
      <c r="Y165" s="483"/>
      <c r="Z165" s="483"/>
      <c r="AA165" s="483"/>
      <c r="AB165" s="160"/>
      <c r="AC165" s="160"/>
      <c r="AD165" s="161"/>
      <c r="AE165" s="161"/>
      <c r="AF165" s="161"/>
    </row>
    <row r="166" spans="1:34" ht="30.75" customHeight="1">
      <c r="A166" s="141">
        <v>10706</v>
      </c>
      <c r="B166" s="133" t="s">
        <v>230</v>
      </c>
      <c r="C166" s="496"/>
      <c r="D166" s="497"/>
      <c r="E166" s="497"/>
      <c r="F166" s="498"/>
      <c r="G166" s="496"/>
      <c r="H166" s="497"/>
      <c r="I166" s="497"/>
      <c r="J166" s="498"/>
      <c r="K166" s="505">
        <f t="shared" si="12"/>
        <v>0</v>
      </c>
      <c r="L166" s="503"/>
      <c r="M166" s="503"/>
      <c r="N166" s="504"/>
      <c r="O166" s="502">
        <f t="shared" si="13"/>
        <v>0</v>
      </c>
      <c r="P166" s="503"/>
      <c r="Q166" s="503"/>
      <c r="R166" s="504"/>
      <c r="S166" s="32"/>
      <c r="T166" s="482" t="str">
        <f>IF(G166-C166=K165+K168," "," مغایرت مانده واگذاري داراييهاي سرمايه اي وصولی با مانده بانک تمرکز وجوه و واگذاري داراييهاي سرمايه اي ارسالی")</f>
        <v xml:space="preserve"> </v>
      </c>
      <c r="U166" s="482"/>
      <c r="V166" s="482"/>
      <c r="W166" s="482"/>
      <c r="X166" s="482"/>
      <c r="Y166" s="482"/>
      <c r="Z166" s="482"/>
      <c r="AA166" s="482"/>
      <c r="AB166" s="482"/>
      <c r="AC166" s="482"/>
      <c r="AD166" s="482"/>
      <c r="AE166" s="161"/>
      <c r="AF166" s="161"/>
    </row>
    <row r="167" spans="1:34" ht="30.75" customHeight="1">
      <c r="A167" s="141">
        <v>10707</v>
      </c>
      <c r="B167" s="133" t="s">
        <v>234</v>
      </c>
      <c r="C167" s="496"/>
      <c r="D167" s="497"/>
      <c r="E167" s="497"/>
      <c r="F167" s="498"/>
      <c r="G167" s="496"/>
      <c r="H167" s="497"/>
      <c r="I167" s="497"/>
      <c r="J167" s="498"/>
      <c r="K167" s="505">
        <f t="shared" si="12"/>
        <v>0</v>
      </c>
      <c r="L167" s="503"/>
      <c r="M167" s="503"/>
      <c r="N167" s="504"/>
      <c r="O167" s="502">
        <f t="shared" si="13"/>
        <v>0</v>
      </c>
      <c r="P167" s="503"/>
      <c r="Q167" s="503"/>
      <c r="R167" s="504"/>
      <c r="S167" s="32"/>
      <c r="T167" s="483"/>
      <c r="U167" s="483"/>
      <c r="V167" s="483"/>
      <c r="W167" s="483"/>
      <c r="X167" s="483"/>
      <c r="Y167" s="483"/>
      <c r="Z167" s="483"/>
      <c r="AA167" s="483"/>
      <c r="AB167" s="160"/>
      <c r="AC167" s="160"/>
      <c r="AD167" s="161"/>
      <c r="AE167" s="161"/>
      <c r="AF167" s="161"/>
    </row>
    <row r="168" spans="1:34" ht="30.75" customHeight="1">
      <c r="A168" s="141">
        <v>10708</v>
      </c>
      <c r="B168" s="133" t="s">
        <v>231</v>
      </c>
      <c r="C168" s="496"/>
      <c r="D168" s="497"/>
      <c r="E168" s="497"/>
      <c r="F168" s="498"/>
      <c r="G168" s="496"/>
      <c r="H168" s="497"/>
      <c r="I168" s="497"/>
      <c r="J168" s="498"/>
      <c r="K168" s="505">
        <f t="shared" si="12"/>
        <v>0</v>
      </c>
      <c r="L168" s="503"/>
      <c r="M168" s="503"/>
      <c r="N168" s="504"/>
      <c r="O168" s="502">
        <f t="shared" si="13"/>
        <v>0</v>
      </c>
      <c r="P168" s="503"/>
      <c r="Q168" s="503"/>
      <c r="R168" s="504"/>
      <c r="S168" s="32"/>
      <c r="T168" s="483" t="str">
        <f>IF(C168-G168=C167," ","مغایرت مانده واگذاري داراييهاي سرمايه اي ارسالی با خزانه تمرکز وجوه واگذاري داراييهاي سرمايه اي")</f>
        <v xml:space="preserve"> </v>
      </c>
      <c r="U168" s="483"/>
      <c r="V168" s="483"/>
      <c r="W168" s="483"/>
      <c r="X168" s="483"/>
      <c r="Y168" s="483"/>
      <c r="Z168" s="483"/>
      <c r="AA168" s="483"/>
      <c r="AB168" s="483"/>
      <c r="AC168" s="483"/>
      <c r="AD168" s="483"/>
      <c r="AE168" s="161"/>
      <c r="AF168" s="161"/>
    </row>
    <row r="169" spans="1:34" ht="30.75" customHeight="1">
      <c r="A169" s="141">
        <v>10709</v>
      </c>
      <c r="B169" s="133" t="s">
        <v>233</v>
      </c>
      <c r="C169" s="496"/>
      <c r="D169" s="497"/>
      <c r="E169" s="497"/>
      <c r="F169" s="498"/>
      <c r="G169" s="496"/>
      <c r="H169" s="497"/>
      <c r="I169" s="497"/>
      <c r="J169" s="498"/>
      <c r="K169" s="505">
        <f t="shared" si="12"/>
        <v>0</v>
      </c>
      <c r="L169" s="503"/>
      <c r="M169" s="503"/>
      <c r="N169" s="504"/>
      <c r="O169" s="502">
        <f t="shared" si="13"/>
        <v>0</v>
      </c>
      <c r="P169" s="503"/>
      <c r="Q169" s="503"/>
      <c r="R169" s="504"/>
      <c r="S169" s="32"/>
      <c r="T169" s="483"/>
      <c r="U169" s="483"/>
      <c r="V169" s="483"/>
      <c r="W169" s="483"/>
      <c r="X169" s="483"/>
      <c r="Y169" s="483"/>
      <c r="Z169" s="483"/>
      <c r="AA169" s="483"/>
      <c r="AB169" s="160"/>
      <c r="AC169" s="160"/>
      <c r="AD169" s="161"/>
      <c r="AE169" s="161"/>
      <c r="AF169" s="161"/>
    </row>
    <row r="170" spans="1:34" ht="30.75" customHeight="1">
      <c r="A170" s="141">
        <v>10710</v>
      </c>
      <c r="B170" s="133" t="s">
        <v>453</v>
      </c>
      <c r="C170" s="496"/>
      <c r="D170" s="497"/>
      <c r="E170" s="497"/>
      <c r="F170" s="498"/>
      <c r="G170" s="496"/>
      <c r="H170" s="497"/>
      <c r="I170" s="497"/>
      <c r="J170" s="498"/>
      <c r="K170" s="505">
        <f t="shared" si="12"/>
        <v>0</v>
      </c>
      <c r="L170" s="503"/>
      <c r="M170" s="503"/>
      <c r="N170" s="504"/>
      <c r="O170" s="502">
        <f t="shared" si="13"/>
        <v>0</v>
      </c>
      <c r="P170" s="503"/>
      <c r="Q170" s="503"/>
      <c r="R170" s="504"/>
      <c r="S170" s="32"/>
      <c r="T170" s="483"/>
      <c r="U170" s="483"/>
      <c r="V170" s="483"/>
      <c r="W170" s="483"/>
      <c r="X170" s="483"/>
      <c r="Y170" s="483"/>
      <c r="Z170" s="483"/>
      <c r="AA170" s="483"/>
      <c r="AB170" s="160"/>
      <c r="AC170" s="160"/>
      <c r="AD170" s="161"/>
      <c r="AE170" s="161"/>
      <c r="AF170" s="161"/>
    </row>
    <row r="171" spans="1:34" ht="30.75" customHeight="1">
      <c r="A171" s="141">
        <v>10711</v>
      </c>
      <c r="B171" s="133" t="s">
        <v>454</v>
      </c>
      <c r="C171" s="496"/>
      <c r="D171" s="497"/>
      <c r="E171" s="497"/>
      <c r="F171" s="498"/>
      <c r="G171" s="496"/>
      <c r="H171" s="497"/>
      <c r="I171" s="497"/>
      <c r="J171" s="498"/>
      <c r="K171" s="505">
        <f t="shared" si="12"/>
        <v>0</v>
      </c>
      <c r="L171" s="503"/>
      <c r="M171" s="503"/>
      <c r="N171" s="504"/>
      <c r="O171" s="502">
        <f t="shared" si="13"/>
        <v>0</v>
      </c>
      <c r="P171" s="503"/>
      <c r="Q171" s="503"/>
      <c r="R171" s="504"/>
      <c r="S171" s="32"/>
      <c r="T171" s="483"/>
      <c r="U171" s="483"/>
      <c r="V171" s="483"/>
      <c r="W171" s="483"/>
      <c r="X171" s="483"/>
      <c r="Y171" s="483"/>
      <c r="Z171" s="483"/>
      <c r="AA171" s="483"/>
      <c r="AB171" s="160"/>
      <c r="AC171" s="160"/>
      <c r="AD171" s="161"/>
      <c r="AE171" s="161"/>
      <c r="AF171" s="161"/>
    </row>
    <row r="172" spans="1:34" ht="30.75" customHeight="1">
      <c r="A172" s="141">
        <v>10712</v>
      </c>
      <c r="B172" s="133" t="s">
        <v>455</v>
      </c>
      <c r="C172" s="496"/>
      <c r="D172" s="497"/>
      <c r="E172" s="497"/>
      <c r="F172" s="498"/>
      <c r="G172" s="496"/>
      <c r="H172" s="497"/>
      <c r="I172" s="497"/>
      <c r="J172" s="498"/>
      <c r="K172" s="505">
        <f t="shared" si="12"/>
        <v>0</v>
      </c>
      <c r="L172" s="503"/>
      <c r="M172" s="503"/>
      <c r="N172" s="504"/>
      <c r="O172" s="502">
        <f t="shared" si="13"/>
        <v>0</v>
      </c>
      <c r="P172" s="503"/>
      <c r="Q172" s="503"/>
      <c r="R172" s="504"/>
      <c r="S172" s="32"/>
      <c r="T172" s="483"/>
      <c r="U172" s="483"/>
      <c r="V172" s="483"/>
      <c r="W172" s="483"/>
      <c r="X172" s="483"/>
      <c r="Y172" s="483"/>
      <c r="Z172" s="483"/>
      <c r="AA172" s="483"/>
      <c r="AB172" s="160"/>
      <c r="AC172" s="160"/>
      <c r="AD172" s="161"/>
      <c r="AE172" s="161"/>
      <c r="AF172" s="161"/>
    </row>
    <row r="173" spans="1:34" ht="30.75" customHeight="1">
      <c r="A173" s="141">
        <v>10713</v>
      </c>
      <c r="B173" s="133" t="s">
        <v>456</v>
      </c>
      <c r="C173" s="496"/>
      <c r="D173" s="497"/>
      <c r="E173" s="497"/>
      <c r="F173" s="498"/>
      <c r="G173" s="496"/>
      <c r="H173" s="497"/>
      <c r="I173" s="497"/>
      <c r="J173" s="498"/>
      <c r="K173" s="505">
        <f t="shared" si="12"/>
        <v>0</v>
      </c>
      <c r="L173" s="503"/>
      <c r="M173" s="503"/>
      <c r="N173" s="504"/>
      <c r="O173" s="502">
        <f t="shared" si="13"/>
        <v>0</v>
      </c>
      <c r="P173" s="503"/>
      <c r="Q173" s="503"/>
      <c r="R173" s="504"/>
      <c r="S173" s="32"/>
      <c r="T173" s="483"/>
      <c r="U173" s="483"/>
      <c r="V173" s="483"/>
      <c r="W173" s="483"/>
      <c r="X173" s="483"/>
      <c r="Y173" s="483"/>
      <c r="Z173" s="483"/>
      <c r="AA173" s="483"/>
      <c r="AB173" s="160"/>
      <c r="AC173" s="160"/>
      <c r="AD173" s="161"/>
      <c r="AE173" s="161"/>
      <c r="AF173" s="161"/>
    </row>
    <row r="174" spans="1:34" ht="30.75" customHeight="1">
      <c r="A174" s="141">
        <v>10714</v>
      </c>
      <c r="B174" s="133" t="s">
        <v>457</v>
      </c>
      <c r="C174" s="496"/>
      <c r="D174" s="497"/>
      <c r="E174" s="497"/>
      <c r="F174" s="498"/>
      <c r="G174" s="496"/>
      <c r="H174" s="497"/>
      <c r="I174" s="497"/>
      <c r="J174" s="498"/>
      <c r="K174" s="505">
        <f t="shared" si="12"/>
        <v>0</v>
      </c>
      <c r="L174" s="503"/>
      <c r="M174" s="503"/>
      <c r="N174" s="504"/>
      <c r="O174" s="502">
        <f t="shared" si="13"/>
        <v>0</v>
      </c>
      <c r="P174" s="503"/>
      <c r="Q174" s="503"/>
      <c r="R174" s="504"/>
      <c r="S174" s="32"/>
      <c r="T174" s="483"/>
      <c r="U174" s="483"/>
      <c r="V174" s="483"/>
      <c r="W174" s="483"/>
      <c r="X174" s="483"/>
      <c r="Y174" s="483"/>
      <c r="Z174" s="483"/>
      <c r="AA174" s="483"/>
      <c r="AB174" s="160"/>
      <c r="AC174" s="160"/>
      <c r="AD174" s="161"/>
      <c r="AE174" s="161"/>
      <c r="AF174" s="161"/>
    </row>
    <row r="175" spans="1:34" ht="30.75" customHeight="1">
      <c r="A175" s="141">
        <v>10715</v>
      </c>
      <c r="B175" s="133" t="s">
        <v>458</v>
      </c>
      <c r="C175" s="496"/>
      <c r="D175" s="497"/>
      <c r="E175" s="497"/>
      <c r="F175" s="498"/>
      <c r="G175" s="496"/>
      <c r="H175" s="497"/>
      <c r="I175" s="497"/>
      <c r="J175" s="498"/>
      <c r="K175" s="505">
        <f t="shared" si="12"/>
        <v>0</v>
      </c>
      <c r="L175" s="503"/>
      <c r="M175" s="503"/>
      <c r="N175" s="504"/>
      <c r="O175" s="502">
        <f t="shared" si="13"/>
        <v>0</v>
      </c>
      <c r="P175" s="503"/>
      <c r="Q175" s="503"/>
      <c r="R175" s="504"/>
      <c r="S175" s="32"/>
      <c r="T175" s="483"/>
      <c r="U175" s="483"/>
      <c r="V175" s="483"/>
      <c r="W175" s="483"/>
      <c r="X175" s="483"/>
      <c r="Y175" s="483"/>
      <c r="Z175" s="483"/>
      <c r="AA175" s="483"/>
      <c r="AB175" s="160"/>
      <c r="AC175" s="160"/>
      <c r="AD175" s="161"/>
      <c r="AE175" s="161"/>
      <c r="AF175" s="161"/>
    </row>
    <row r="176" spans="1:34" ht="30.75" customHeight="1">
      <c r="A176" s="141">
        <v>10716</v>
      </c>
      <c r="B176" s="133" t="s">
        <v>459</v>
      </c>
      <c r="C176" s="496"/>
      <c r="D176" s="497"/>
      <c r="E176" s="497"/>
      <c r="F176" s="498"/>
      <c r="G176" s="496"/>
      <c r="H176" s="497"/>
      <c r="I176" s="497"/>
      <c r="J176" s="498"/>
      <c r="K176" s="505">
        <f t="shared" si="12"/>
        <v>0</v>
      </c>
      <c r="L176" s="503"/>
      <c r="M176" s="503"/>
      <c r="N176" s="504"/>
      <c r="O176" s="502">
        <f t="shared" si="13"/>
        <v>0</v>
      </c>
      <c r="P176" s="503"/>
      <c r="Q176" s="503"/>
      <c r="R176" s="504"/>
      <c r="S176" s="32"/>
      <c r="T176" s="483"/>
      <c r="U176" s="483"/>
      <c r="V176" s="483"/>
      <c r="W176" s="483"/>
      <c r="X176" s="483"/>
      <c r="Y176" s="483"/>
      <c r="Z176" s="483"/>
      <c r="AA176" s="483"/>
      <c r="AB176" s="160"/>
      <c r="AC176" s="160"/>
      <c r="AD176" s="161"/>
      <c r="AE176" s="161"/>
      <c r="AF176" s="161"/>
    </row>
    <row r="177" spans="1:32" ht="30.75" customHeight="1">
      <c r="A177" s="141">
        <v>10717</v>
      </c>
      <c r="B177" s="133" t="s">
        <v>460</v>
      </c>
      <c r="C177" s="496"/>
      <c r="D177" s="497"/>
      <c r="E177" s="497"/>
      <c r="F177" s="498"/>
      <c r="G177" s="496"/>
      <c r="H177" s="497"/>
      <c r="I177" s="497"/>
      <c r="J177" s="498"/>
      <c r="K177" s="505">
        <f t="shared" si="12"/>
        <v>0</v>
      </c>
      <c r="L177" s="503"/>
      <c r="M177" s="503"/>
      <c r="N177" s="504"/>
      <c r="O177" s="502">
        <f t="shared" si="13"/>
        <v>0</v>
      </c>
      <c r="P177" s="503"/>
      <c r="Q177" s="503"/>
      <c r="R177" s="504"/>
      <c r="S177" s="32"/>
      <c r="T177" s="483"/>
      <c r="U177" s="483"/>
      <c r="V177" s="483"/>
      <c r="W177" s="483"/>
      <c r="X177" s="483"/>
      <c r="Y177" s="483"/>
      <c r="Z177" s="483"/>
      <c r="AA177" s="483"/>
      <c r="AB177" s="160"/>
      <c r="AC177" s="160"/>
      <c r="AD177" s="161"/>
      <c r="AE177" s="161"/>
      <c r="AF177" s="161"/>
    </row>
    <row r="178" spans="1:32" ht="30.75" customHeight="1" thickBot="1">
      <c r="A178" s="142">
        <v>10718</v>
      </c>
      <c r="B178" s="134" t="s">
        <v>232</v>
      </c>
      <c r="C178" s="496"/>
      <c r="D178" s="497"/>
      <c r="E178" s="497"/>
      <c r="F178" s="498"/>
      <c r="G178" s="496"/>
      <c r="H178" s="497"/>
      <c r="I178" s="497"/>
      <c r="J178" s="498"/>
      <c r="K178" s="548">
        <f t="shared" si="12"/>
        <v>0</v>
      </c>
      <c r="L178" s="549"/>
      <c r="M178" s="549"/>
      <c r="N178" s="550"/>
      <c r="O178" s="551">
        <f t="shared" si="13"/>
        <v>0</v>
      </c>
      <c r="P178" s="549"/>
      <c r="Q178" s="549"/>
      <c r="R178" s="550"/>
      <c r="S178" s="32"/>
      <c r="T178" s="483"/>
      <c r="U178" s="483"/>
      <c r="V178" s="483"/>
      <c r="W178" s="483"/>
      <c r="X178" s="483"/>
      <c r="Y178" s="483"/>
      <c r="Z178" s="483"/>
      <c r="AA178" s="483"/>
      <c r="AB178" s="160"/>
      <c r="AC178" s="160"/>
      <c r="AD178" s="161"/>
      <c r="AE178" s="161"/>
      <c r="AF178" s="161"/>
    </row>
    <row r="179" spans="1:32" ht="30.75" customHeight="1" thickBot="1">
      <c r="A179" s="529" t="s">
        <v>127</v>
      </c>
      <c r="B179" s="530"/>
      <c r="C179" s="516">
        <f>SUM(C161:F178)</f>
        <v>0</v>
      </c>
      <c r="D179" s="517"/>
      <c r="E179" s="517"/>
      <c r="F179" s="518"/>
      <c r="G179" s="516">
        <f>SUM(G161:J178)</f>
        <v>0</v>
      </c>
      <c r="H179" s="517"/>
      <c r="I179" s="517"/>
      <c r="J179" s="519"/>
      <c r="K179" s="522">
        <f>SUM(K161:N178)</f>
        <v>0</v>
      </c>
      <c r="L179" s="522"/>
      <c r="M179" s="522"/>
      <c r="N179" s="523"/>
      <c r="O179" s="521">
        <f>SUM(O161:R178)</f>
        <v>0</v>
      </c>
      <c r="P179" s="522"/>
      <c r="Q179" s="522"/>
      <c r="R179" s="523"/>
      <c r="S179" s="32"/>
      <c r="T179" s="481" t="str">
        <f>IF(K179=O179," "," مغایرت جمع مانده بدهکار با جمع مانده بستانکار")</f>
        <v xml:space="preserve"> </v>
      </c>
      <c r="U179" s="481"/>
      <c r="V179" s="481"/>
      <c r="W179" s="481"/>
      <c r="X179" s="481"/>
      <c r="Y179" s="481"/>
      <c r="Z179" s="481"/>
      <c r="AA179" s="481"/>
      <c r="AB179" s="160"/>
      <c r="AC179" s="160"/>
      <c r="AD179" s="161"/>
      <c r="AE179" s="161"/>
      <c r="AF179" s="161"/>
    </row>
    <row r="180" spans="1:32" s="2" customFormat="1" ht="28.5" thickBot="1">
      <c r="A180" s="140">
        <v>108</v>
      </c>
      <c r="B180" s="30"/>
      <c r="C180" s="499" t="s">
        <v>525</v>
      </c>
      <c r="D180" s="500"/>
      <c r="E180" s="500"/>
      <c r="F180" s="500"/>
      <c r="G180" s="500"/>
      <c r="H180" s="500"/>
      <c r="I180" s="500"/>
      <c r="J180" s="500"/>
      <c r="K180" s="500"/>
      <c r="L180" s="500"/>
      <c r="M180" s="500"/>
      <c r="N180" s="500"/>
      <c r="O180" s="500"/>
      <c r="P180" s="500"/>
      <c r="Q180" s="500"/>
      <c r="R180" s="501"/>
      <c r="S180" s="33"/>
      <c r="T180" s="483"/>
      <c r="U180" s="483"/>
      <c r="V180" s="483"/>
      <c r="W180" s="483"/>
      <c r="X180" s="483"/>
      <c r="Y180" s="483"/>
      <c r="Z180" s="483"/>
      <c r="AA180" s="483"/>
      <c r="AB180" s="96"/>
      <c r="AC180" s="96"/>
    </row>
    <row r="181" spans="1:32" ht="30.75" customHeight="1">
      <c r="A181" s="143">
        <v>10801</v>
      </c>
      <c r="B181" s="133" t="s">
        <v>235</v>
      </c>
      <c r="C181" s="496"/>
      <c r="D181" s="497"/>
      <c r="E181" s="497"/>
      <c r="F181" s="498"/>
      <c r="G181" s="496"/>
      <c r="H181" s="497"/>
      <c r="I181" s="497"/>
      <c r="J181" s="498"/>
      <c r="K181" s="505">
        <f>IF(C181&gt;G181,C181-G181,0)</f>
        <v>0</v>
      </c>
      <c r="L181" s="503"/>
      <c r="M181" s="503"/>
      <c r="N181" s="504"/>
      <c r="O181" s="502">
        <f>IF(G181&gt;C181,G181-C181,0)</f>
        <v>0</v>
      </c>
      <c r="P181" s="503"/>
      <c r="Q181" s="503"/>
      <c r="R181" s="504"/>
      <c r="S181" s="32"/>
      <c r="T181" s="483" t="str">
        <f>IF(G181-C181=C182-G182," ","مغایرت مانده دستگاه اجرایی اختصاصی با اعتبار اختصاصی مصوب")</f>
        <v xml:space="preserve"> </v>
      </c>
      <c r="U181" s="483"/>
      <c r="V181" s="483"/>
      <c r="W181" s="483"/>
      <c r="X181" s="483"/>
      <c r="Y181" s="483"/>
      <c r="Z181" s="483"/>
      <c r="AA181" s="483"/>
      <c r="AB181" s="160"/>
      <c r="AC181" s="160"/>
      <c r="AD181" s="161"/>
      <c r="AE181" s="161"/>
      <c r="AF181" s="161"/>
    </row>
    <row r="182" spans="1:32" ht="30.75" customHeight="1">
      <c r="A182" s="141">
        <v>10802</v>
      </c>
      <c r="B182" s="133" t="s">
        <v>236</v>
      </c>
      <c r="C182" s="496"/>
      <c r="D182" s="497"/>
      <c r="E182" s="497"/>
      <c r="F182" s="498"/>
      <c r="G182" s="496"/>
      <c r="H182" s="497"/>
      <c r="I182" s="497"/>
      <c r="J182" s="498"/>
      <c r="K182" s="505">
        <f>IF(C182&gt;G182,C182-G182,0)</f>
        <v>0</v>
      </c>
      <c r="L182" s="503"/>
      <c r="M182" s="503"/>
      <c r="N182" s="504"/>
      <c r="O182" s="502">
        <f>IF(G182&gt;C182,G182-C182,0)</f>
        <v>0</v>
      </c>
      <c r="P182" s="503"/>
      <c r="Q182" s="503"/>
      <c r="R182" s="504"/>
      <c r="S182" s="32"/>
      <c r="T182" s="483"/>
      <c r="U182" s="483"/>
      <c r="V182" s="483"/>
      <c r="W182" s="483"/>
      <c r="X182" s="483"/>
      <c r="Y182" s="483"/>
      <c r="Z182" s="483"/>
      <c r="AA182" s="483"/>
      <c r="AB182" s="160"/>
      <c r="AC182" s="160"/>
      <c r="AD182" s="161"/>
      <c r="AE182" s="161"/>
      <c r="AF182" s="161"/>
    </row>
    <row r="183" spans="1:32" ht="30.75" customHeight="1">
      <c r="A183" s="141">
        <v>10803</v>
      </c>
      <c r="B183" s="133" t="s">
        <v>461</v>
      </c>
      <c r="C183" s="496"/>
      <c r="D183" s="497"/>
      <c r="E183" s="497"/>
      <c r="F183" s="498"/>
      <c r="G183" s="496"/>
      <c r="H183" s="497"/>
      <c r="I183" s="497"/>
      <c r="J183" s="498"/>
      <c r="K183" s="505">
        <f t="shared" ref="K183:K211" si="14">IF(C183&gt;G183,C183-G183,0)</f>
        <v>0</v>
      </c>
      <c r="L183" s="503"/>
      <c r="M183" s="503"/>
      <c r="N183" s="504"/>
      <c r="O183" s="502">
        <f t="shared" ref="O183:O211" si="15">IF(G183&gt;C183,G183-C183,0)</f>
        <v>0</v>
      </c>
      <c r="P183" s="503"/>
      <c r="Q183" s="503"/>
      <c r="R183" s="504"/>
      <c r="S183" s="32"/>
      <c r="T183" s="483"/>
      <c r="U183" s="483"/>
      <c r="V183" s="483"/>
      <c r="W183" s="483"/>
      <c r="X183" s="483"/>
      <c r="Y183" s="483"/>
      <c r="Z183" s="483"/>
      <c r="AA183" s="483"/>
      <c r="AB183" s="160"/>
      <c r="AC183" s="160"/>
      <c r="AD183" s="161"/>
      <c r="AE183" s="161"/>
      <c r="AF183" s="161"/>
    </row>
    <row r="184" spans="1:32" ht="30.75" customHeight="1">
      <c r="A184" s="141">
        <v>10804</v>
      </c>
      <c r="B184" s="133" t="s">
        <v>237</v>
      </c>
      <c r="C184" s="496"/>
      <c r="D184" s="497"/>
      <c r="E184" s="497"/>
      <c r="F184" s="498"/>
      <c r="G184" s="496"/>
      <c r="H184" s="497"/>
      <c r="I184" s="497"/>
      <c r="J184" s="498"/>
      <c r="K184" s="505">
        <f t="shared" si="14"/>
        <v>0</v>
      </c>
      <c r="L184" s="503"/>
      <c r="M184" s="503"/>
      <c r="N184" s="504"/>
      <c r="O184" s="502">
        <f t="shared" si="15"/>
        <v>0</v>
      </c>
      <c r="P184" s="503"/>
      <c r="Q184" s="503"/>
      <c r="R184" s="504"/>
      <c r="S184" s="32"/>
      <c r="T184" s="483"/>
      <c r="U184" s="483"/>
      <c r="V184" s="483"/>
      <c r="W184" s="483"/>
      <c r="X184" s="483"/>
      <c r="Y184" s="483"/>
      <c r="Z184" s="483"/>
      <c r="AA184" s="483"/>
      <c r="AB184" s="160"/>
      <c r="AC184" s="160"/>
      <c r="AD184" s="161"/>
      <c r="AE184" s="161"/>
      <c r="AF184" s="161"/>
    </row>
    <row r="185" spans="1:32" ht="30.75" customHeight="1">
      <c r="A185" s="141">
        <v>10805</v>
      </c>
      <c r="B185" s="133" t="s">
        <v>238</v>
      </c>
      <c r="C185" s="496"/>
      <c r="D185" s="497"/>
      <c r="E185" s="497"/>
      <c r="F185" s="498"/>
      <c r="G185" s="496"/>
      <c r="H185" s="497"/>
      <c r="I185" s="497"/>
      <c r="J185" s="498"/>
      <c r="K185" s="505">
        <f t="shared" si="14"/>
        <v>0</v>
      </c>
      <c r="L185" s="503"/>
      <c r="M185" s="503"/>
      <c r="N185" s="504"/>
      <c r="O185" s="502">
        <f t="shared" si="15"/>
        <v>0</v>
      </c>
      <c r="P185" s="503"/>
      <c r="Q185" s="503"/>
      <c r="R185" s="504"/>
      <c r="S185" s="32"/>
      <c r="T185" s="483"/>
      <c r="U185" s="483"/>
      <c r="V185" s="483"/>
      <c r="W185" s="483"/>
      <c r="X185" s="483"/>
      <c r="Y185" s="483"/>
      <c r="Z185" s="483"/>
      <c r="AA185" s="483"/>
      <c r="AB185" s="160"/>
      <c r="AC185" s="160"/>
      <c r="AD185" s="161"/>
      <c r="AE185" s="161"/>
      <c r="AF185" s="161"/>
    </row>
    <row r="186" spans="1:32" ht="30.75" customHeight="1">
      <c r="A186" s="141">
        <v>10806</v>
      </c>
      <c r="B186" s="133" t="s">
        <v>239</v>
      </c>
      <c r="C186" s="496"/>
      <c r="D186" s="497"/>
      <c r="E186" s="497"/>
      <c r="F186" s="498"/>
      <c r="G186" s="496"/>
      <c r="H186" s="497"/>
      <c r="I186" s="497"/>
      <c r="J186" s="498"/>
      <c r="K186" s="505">
        <f t="shared" si="14"/>
        <v>0</v>
      </c>
      <c r="L186" s="503"/>
      <c r="M186" s="503"/>
      <c r="N186" s="504"/>
      <c r="O186" s="502">
        <f t="shared" si="15"/>
        <v>0</v>
      </c>
      <c r="P186" s="503"/>
      <c r="Q186" s="503"/>
      <c r="R186" s="504"/>
      <c r="S186" s="32"/>
      <c r="T186" s="486" t="str">
        <f>IF(G186-C186=K187+K190+K191+K192+K194+K195+K196+K197," "," مغایرت دریافتی از خزانه بابت درآمد اختصاصی با مانده (بانک پرداخت ، هزینه ، پیش پرداخت ، علی الحساب و... ) ازمحل درآمد اختصاصی")</f>
        <v xml:space="preserve"> </v>
      </c>
      <c r="U186" s="486"/>
      <c r="V186" s="486"/>
      <c r="W186" s="486"/>
      <c r="X186" s="486"/>
      <c r="Y186" s="486"/>
      <c r="Z186" s="486"/>
      <c r="AA186" s="486"/>
      <c r="AB186" s="486"/>
      <c r="AC186" s="486"/>
      <c r="AD186" s="486"/>
      <c r="AE186" s="486"/>
      <c r="AF186" s="486"/>
    </row>
    <row r="187" spans="1:32" ht="30.75" customHeight="1">
      <c r="A187" s="141">
        <v>10807</v>
      </c>
      <c r="B187" s="133" t="s">
        <v>240</v>
      </c>
      <c r="C187" s="496"/>
      <c r="D187" s="497"/>
      <c r="E187" s="497"/>
      <c r="F187" s="498"/>
      <c r="G187" s="496"/>
      <c r="H187" s="497"/>
      <c r="I187" s="497"/>
      <c r="J187" s="498"/>
      <c r="K187" s="505">
        <f t="shared" si="14"/>
        <v>0</v>
      </c>
      <c r="L187" s="503"/>
      <c r="M187" s="503"/>
      <c r="N187" s="504"/>
      <c r="O187" s="502">
        <f t="shared" si="15"/>
        <v>0</v>
      </c>
      <c r="P187" s="503"/>
      <c r="Q187" s="503"/>
      <c r="R187" s="504"/>
      <c r="S187" s="32"/>
      <c r="T187" s="483"/>
      <c r="U187" s="483"/>
      <c r="V187" s="483"/>
      <c r="W187" s="483"/>
      <c r="X187" s="483"/>
      <c r="Y187" s="483"/>
      <c r="Z187" s="483"/>
      <c r="AA187" s="483"/>
      <c r="AB187" s="160"/>
      <c r="AC187" s="160"/>
      <c r="AD187" s="161"/>
      <c r="AE187" s="161"/>
      <c r="AF187" s="161"/>
    </row>
    <row r="188" spans="1:32" ht="30.75" customHeight="1">
      <c r="A188" s="141">
        <v>10808</v>
      </c>
      <c r="B188" s="133" t="s">
        <v>241</v>
      </c>
      <c r="C188" s="496"/>
      <c r="D188" s="497"/>
      <c r="E188" s="497"/>
      <c r="F188" s="498"/>
      <c r="G188" s="496"/>
      <c r="H188" s="497"/>
      <c r="I188" s="497"/>
      <c r="J188" s="498"/>
      <c r="K188" s="505">
        <f t="shared" si="14"/>
        <v>0</v>
      </c>
      <c r="L188" s="503"/>
      <c r="M188" s="503"/>
      <c r="N188" s="504"/>
      <c r="O188" s="502">
        <f t="shared" si="15"/>
        <v>0</v>
      </c>
      <c r="P188" s="503"/>
      <c r="Q188" s="503"/>
      <c r="R188" s="504"/>
      <c r="S188" s="32"/>
      <c r="T188" s="483" t="str">
        <f>IF(C188-G188=K191+K192," "," مغایرت مانده تامین اعتباراختصاصی با مانده پرداخت های غیر قطعی اختصاصی (پیش پرداخت ،علی الحساب و . . .)")</f>
        <v xml:space="preserve"> </v>
      </c>
      <c r="U188" s="483"/>
      <c r="V188" s="483"/>
      <c r="W188" s="483"/>
      <c r="X188" s="483"/>
      <c r="Y188" s="483"/>
      <c r="Z188" s="483"/>
      <c r="AA188" s="483"/>
      <c r="AB188" s="483"/>
      <c r="AC188" s="483"/>
      <c r="AD188" s="483"/>
      <c r="AE188" s="483"/>
      <c r="AF188" s="161"/>
    </row>
    <row r="189" spans="1:32" ht="30.75" customHeight="1">
      <c r="A189" s="141">
        <v>10809</v>
      </c>
      <c r="B189" s="133" t="s">
        <v>242</v>
      </c>
      <c r="C189" s="496"/>
      <c r="D189" s="497"/>
      <c r="E189" s="497"/>
      <c r="F189" s="498"/>
      <c r="G189" s="496"/>
      <c r="H189" s="497"/>
      <c r="I189" s="497"/>
      <c r="J189" s="498"/>
      <c r="K189" s="505">
        <f t="shared" si="14"/>
        <v>0</v>
      </c>
      <c r="L189" s="503"/>
      <c r="M189" s="503"/>
      <c r="N189" s="504"/>
      <c r="O189" s="502">
        <f t="shared" si="15"/>
        <v>0</v>
      </c>
      <c r="P189" s="503"/>
      <c r="Q189" s="503"/>
      <c r="R189" s="504"/>
      <c r="S189" s="32"/>
      <c r="T189" s="483" t="str">
        <f>IF(G189-C189=C188-G188," ","مغایرت مانده ذخیره تامین اعتبار اختصاصی با مانده تامین اعتبار اختصاصی")</f>
        <v xml:space="preserve"> </v>
      </c>
      <c r="U189" s="483"/>
      <c r="V189" s="483"/>
      <c r="W189" s="483"/>
      <c r="X189" s="483"/>
      <c r="Y189" s="483"/>
      <c r="Z189" s="483"/>
      <c r="AA189" s="483"/>
      <c r="AB189" s="483"/>
      <c r="AC189" s="483"/>
      <c r="AD189" s="483"/>
      <c r="AE189" s="483"/>
      <c r="AF189" s="161"/>
    </row>
    <row r="190" spans="1:32" ht="30.75" customHeight="1">
      <c r="A190" s="141">
        <v>10810</v>
      </c>
      <c r="B190" s="133" t="s">
        <v>245</v>
      </c>
      <c r="C190" s="496"/>
      <c r="D190" s="497"/>
      <c r="E190" s="497"/>
      <c r="F190" s="498"/>
      <c r="G190" s="496"/>
      <c r="H190" s="497"/>
      <c r="I190" s="497"/>
      <c r="J190" s="498"/>
      <c r="K190" s="505">
        <f t="shared" si="14"/>
        <v>0</v>
      </c>
      <c r="L190" s="503"/>
      <c r="M190" s="503"/>
      <c r="N190" s="504"/>
      <c r="O190" s="502">
        <f t="shared" si="15"/>
        <v>0</v>
      </c>
      <c r="P190" s="503"/>
      <c r="Q190" s="503"/>
      <c r="R190" s="504"/>
      <c r="S190" s="32"/>
      <c r="T190" s="483"/>
      <c r="U190" s="483"/>
      <c r="V190" s="483"/>
      <c r="W190" s="483"/>
      <c r="X190" s="483"/>
      <c r="Y190" s="483"/>
      <c r="Z190" s="483"/>
      <c r="AA190" s="483"/>
      <c r="AB190" s="160"/>
      <c r="AC190" s="160"/>
      <c r="AD190" s="161"/>
      <c r="AE190" s="161"/>
      <c r="AF190" s="161"/>
    </row>
    <row r="191" spans="1:32" ht="30.75" customHeight="1">
      <c r="A191" s="141">
        <v>10811</v>
      </c>
      <c r="B191" s="133" t="s">
        <v>246</v>
      </c>
      <c r="C191" s="496"/>
      <c r="D191" s="497"/>
      <c r="E191" s="497"/>
      <c r="F191" s="498"/>
      <c r="G191" s="496"/>
      <c r="H191" s="497"/>
      <c r="I191" s="497"/>
      <c r="J191" s="498"/>
      <c r="K191" s="505">
        <f t="shared" si="14"/>
        <v>0</v>
      </c>
      <c r="L191" s="503"/>
      <c r="M191" s="503"/>
      <c r="N191" s="504"/>
      <c r="O191" s="502">
        <f t="shared" si="15"/>
        <v>0</v>
      </c>
      <c r="P191" s="503"/>
      <c r="Q191" s="503"/>
      <c r="R191" s="504"/>
      <c r="S191" s="32"/>
      <c r="T191" s="483"/>
      <c r="U191" s="483"/>
      <c r="V191" s="483"/>
      <c r="W191" s="483"/>
      <c r="X191" s="483"/>
      <c r="Y191" s="483"/>
      <c r="Z191" s="483"/>
      <c r="AA191" s="483"/>
      <c r="AB191" s="160"/>
      <c r="AC191" s="160"/>
      <c r="AD191" s="161"/>
      <c r="AE191" s="161"/>
      <c r="AF191" s="161"/>
    </row>
    <row r="192" spans="1:32" ht="30.75" customHeight="1">
      <c r="A192" s="141">
        <v>10812</v>
      </c>
      <c r="B192" s="133" t="s">
        <v>247</v>
      </c>
      <c r="C192" s="496"/>
      <c r="D192" s="497"/>
      <c r="E192" s="497"/>
      <c r="F192" s="498"/>
      <c r="G192" s="496"/>
      <c r="H192" s="497"/>
      <c r="I192" s="497"/>
      <c r="J192" s="498"/>
      <c r="K192" s="505">
        <f t="shared" si="14"/>
        <v>0</v>
      </c>
      <c r="L192" s="503"/>
      <c r="M192" s="503"/>
      <c r="N192" s="504"/>
      <c r="O192" s="502">
        <f t="shared" si="15"/>
        <v>0</v>
      </c>
      <c r="P192" s="503"/>
      <c r="Q192" s="503"/>
      <c r="R192" s="504"/>
      <c r="S192" s="32"/>
      <c r="T192" s="483"/>
      <c r="U192" s="483"/>
      <c r="V192" s="483"/>
      <c r="W192" s="483"/>
      <c r="X192" s="483"/>
      <c r="Y192" s="483"/>
      <c r="Z192" s="483"/>
      <c r="AA192" s="483"/>
      <c r="AB192" s="160"/>
      <c r="AC192" s="160"/>
      <c r="AD192" s="161"/>
      <c r="AE192" s="161"/>
      <c r="AF192" s="161"/>
    </row>
    <row r="193" spans="1:32" ht="30.75" customHeight="1">
      <c r="A193" s="141">
        <v>10813</v>
      </c>
      <c r="B193" s="133" t="s">
        <v>248</v>
      </c>
      <c r="C193" s="496"/>
      <c r="D193" s="497"/>
      <c r="E193" s="497"/>
      <c r="F193" s="498"/>
      <c r="G193" s="496"/>
      <c r="H193" s="497"/>
      <c r="I193" s="497"/>
      <c r="J193" s="498"/>
      <c r="K193" s="505">
        <f t="shared" si="14"/>
        <v>0</v>
      </c>
      <c r="L193" s="503"/>
      <c r="M193" s="503"/>
      <c r="N193" s="504"/>
      <c r="O193" s="502">
        <f t="shared" si="15"/>
        <v>0</v>
      </c>
      <c r="P193" s="503"/>
      <c r="Q193" s="503"/>
      <c r="R193" s="504"/>
      <c r="S193" s="32"/>
      <c r="T193" s="483"/>
      <c r="U193" s="483"/>
      <c r="V193" s="483"/>
      <c r="W193" s="483"/>
      <c r="X193" s="483"/>
      <c r="Y193" s="483"/>
      <c r="Z193" s="483"/>
      <c r="AA193" s="483"/>
      <c r="AB193" s="160"/>
      <c r="AC193" s="160"/>
      <c r="AD193" s="161"/>
      <c r="AE193" s="161"/>
      <c r="AF193" s="161"/>
    </row>
    <row r="194" spans="1:32" ht="30.75" customHeight="1">
      <c r="A194" s="141">
        <v>10814</v>
      </c>
      <c r="B194" s="133" t="s">
        <v>250</v>
      </c>
      <c r="C194" s="496"/>
      <c r="D194" s="497"/>
      <c r="E194" s="497"/>
      <c r="F194" s="498"/>
      <c r="G194" s="496"/>
      <c r="H194" s="497"/>
      <c r="I194" s="497"/>
      <c r="J194" s="498"/>
      <c r="K194" s="505">
        <f t="shared" si="14"/>
        <v>0</v>
      </c>
      <c r="L194" s="503"/>
      <c r="M194" s="503"/>
      <c r="N194" s="504"/>
      <c r="O194" s="502">
        <f t="shared" si="15"/>
        <v>0</v>
      </c>
      <c r="P194" s="503"/>
      <c r="Q194" s="503"/>
      <c r="R194" s="504"/>
      <c r="S194" s="32"/>
      <c r="T194" s="483"/>
      <c r="U194" s="483"/>
      <c r="V194" s="483"/>
      <c r="W194" s="483"/>
      <c r="X194" s="483"/>
      <c r="Y194" s="483"/>
      <c r="Z194" s="483"/>
      <c r="AA194" s="483"/>
      <c r="AB194" s="160"/>
      <c r="AC194" s="160"/>
      <c r="AD194" s="161"/>
      <c r="AE194" s="161"/>
      <c r="AF194" s="161"/>
    </row>
    <row r="195" spans="1:32" ht="30.75" customHeight="1">
      <c r="A195" s="141">
        <v>10815</v>
      </c>
      <c r="B195" s="133" t="s">
        <v>462</v>
      </c>
      <c r="C195" s="496"/>
      <c r="D195" s="497"/>
      <c r="E195" s="497"/>
      <c r="F195" s="498"/>
      <c r="G195" s="496"/>
      <c r="H195" s="497"/>
      <c r="I195" s="497"/>
      <c r="J195" s="498"/>
      <c r="K195" s="505">
        <f t="shared" si="14"/>
        <v>0</v>
      </c>
      <c r="L195" s="503"/>
      <c r="M195" s="503"/>
      <c r="N195" s="504"/>
      <c r="O195" s="502">
        <f t="shared" si="15"/>
        <v>0</v>
      </c>
      <c r="P195" s="503"/>
      <c r="Q195" s="503"/>
      <c r="R195" s="504"/>
      <c r="S195" s="32"/>
      <c r="T195" s="483"/>
      <c r="U195" s="483"/>
      <c r="V195" s="483"/>
      <c r="W195" s="483"/>
      <c r="X195" s="483"/>
      <c r="Y195" s="483"/>
      <c r="Z195" s="483"/>
      <c r="AA195" s="483"/>
      <c r="AB195" s="160"/>
      <c r="AC195" s="160"/>
      <c r="AD195" s="161"/>
      <c r="AE195" s="161"/>
      <c r="AF195" s="161"/>
    </row>
    <row r="196" spans="1:32" ht="30.75" customHeight="1">
      <c r="A196" s="141">
        <v>10816</v>
      </c>
      <c r="B196" s="133" t="s">
        <v>255</v>
      </c>
      <c r="C196" s="496"/>
      <c r="D196" s="497"/>
      <c r="E196" s="497"/>
      <c r="F196" s="498"/>
      <c r="G196" s="496"/>
      <c r="H196" s="497"/>
      <c r="I196" s="497"/>
      <c r="J196" s="498"/>
      <c r="K196" s="505">
        <f t="shared" si="14"/>
        <v>0</v>
      </c>
      <c r="L196" s="503"/>
      <c r="M196" s="503"/>
      <c r="N196" s="504"/>
      <c r="O196" s="502">
        <f t="shared" si="15"/>
        <v>0</v>
      </c>
      <c r="P196" s="503"/>
      <c r="Q196" s="503"/>
      <c r="R196" s="504"/>
      <c r="S196" s="32"/>
      <c r="T196" s="483"/>
      <c r="U196" s="483"/>
      <c r="V196" s="483"/>
      <c r="W196" s="483"/>
      <c r="X196" s="483"/>
      <c r="Y196" s="483"/>
      <c r="Z196" s="483"/>
      <c r="AA196" s="483"/>
      <c r="AB196" s="160"/>
      <c r="AC196" s="160"/>
      <c r="AD196" s="161"/>
      <c r="AE196" s="161"/>
      <c r="AF196" s="161"/>
    </row>
    <row r="197" spans="1:32" ht="30.75" customHeight="1">
      <c r="A197" s="141">
        <v>10817</v>
      </c>
      <c r="B197" s="133" t="s">
        <v>463</v>
      </c>
      <c r="C197" s="496"/>
      <c r="D197" s="497"/>
      <c r="E197" s="497"/>
      <c r="F197" s="498"/>
      <c r="G197" s="496"/>
      <c r="H197" s="497"/>
      <c r="I197" s="497"/>
      <c r="J197" s="498"/>
      <c r="K197" s="505">
        <f t="shared" si="14"/>
        <v>0</v>
      </c>
      <c r="L197" s="503"/>
      <c r="M197" s="503"/>
      <c r="N197" s="504"/>
      <c r="O197" s="502">
        <f t="shared" si="15"/>
        <v>0</v>
      </c>
      <c r="P197" s="503"/>
      <c r="Q197" s="503"/>
      <c r="R197" s="504"/>
      <c r="S197" s="32"/>
      <c r="T197" s="483"/>
      <c r="U197" s="483"/>
      <c r="V197" s="483"/>
      <c r="W197" s="483"/>
      <c r="X197" s="483"/>
      <c r="Y197" s="483"/>
      <c r="Z197" s="483"/>
      <c r="AA197" s="483"/>
      <c r="AB197" s="160"/>
      <c r="AC197" s="160"/>
      <c r="AD197" s="161"/>
      <c r="AE197" s="161"/>
      <c r="AF197" s="161"/>
    </row>
    <row r="198" spans="1:32" ht="30.75" customHeight="1">
      <c r="A198" s="141">
        <v>10818</v>
      </c>
      <c r="B198" s="133" t="s">
        <v>243</v>
      </c>
      <c r="C198" s="496"/>
      <c r="D198" s="497"/>
      <c r="E198" s="497"/>
      <c r="F198" s="498"/>
      <c r="G198" s="496"/>
      <c r="H198" s="497"/>
      <c r="I198" s="497"/>
      <c r="J198" s="498"/>
      <c r="K198" s="505">
        <f t="shared" si="14"/>
        <v>0</v>
      </c>
      <c r="L198" s="503"/>
      <c r="M198" s="503"/>
      <c r="N198" s="504"/>
      <c r="O198" s="502">
        <f t="shared" si="15"/>
        <v>0</v>
      </c>
      <c r="P198" s="503"/>
      <c r="Q198" s="503"/>
      <c r="R198" s="504"/>
      <c r="S198" s="32"/>
      <c r="T198" s="483"/>
      <c r="U198" s="483"/>
      <c r="V198" s="483"/>
      <c r="W198" s="483"/>
      <c r="X198" s="483"/>
      <c r="Y198" s="483"/>
      <c r="Z198" s="483"/>
      <c r="AA198" s="483"/>
      <c r="AB198" s="160"/>
      <c r="AC198" s="160"/>
      <c r="AD198" s="161"/>
      <c r="AE198" s="161"/>
      <c r="AF198" s="161"/>
    </row>
    <row r="199" spans="1:32" ht="30.75" customHeight="1">
      <c r="A199" s="141">
        <v>10819</v>
      </c>
      <c r="B199" s="133" t="s">
        <v>244</v>
      </c>
      <c r="C199" s="496"/>
      <c r="D199" s="497"/>
      <c r="E199" s="497"/>
      <c r="F199" s="498"/>
      <c r="G199" s="496"/>
      <c r="H199" s="497"/>
      <c r="I199" s="497"/>
      <c r="J199" s="498"/>
      <c r="K199" s="505">
        <f t="shared" si="14"/>
        <v>0</v>
      </c>
      <c r="L199" s="503"/>
      <c r="M199" s="503"/>
      <c r="N199" s="504"/>
      <c r="O199" s="502">
        <f t="shared" si="15"/>
        <v>0</v>
      </c>
      <c r="P199" s="503"/>
      <c r="Q199" s="503"/>
      <c r="R199" s="504"/>
      <c r="S199" s="32"/>
      <c r="T199" s="483"/>
      <c r="U199" s="483"/>
      <c r="V199" s="483"/>
      <c r="W199" s="483"/>
      <c r="X199" s="483"/>
      <c r="Y199" s="483"/>
      <c r="Z199" s="483"/>
      <c r="AA199" s="483"/>
      <c r="AB199" s="160"/>
      <c r="AC199" s="160"/>
      <c r="AD199" s="161"/>
      <c r="AE199" s="161"/>
      <c r="AF199" s="161"/>
    </row>
    <row r="200" spans="1:32" ht="30.75" customHeight="1">
      <c r="A200" s="141">
        <v>10820</v>
      </c>
      <c r="B200" s="133" t="s">
        <v>251</v>
      </c>
      <c r="C200" s="496"/>
      <c r="D200" s="497"/>
      <c r="E200" s="497"/>
      <c r="F200" s="498"/>
      <c r="G200" s="496"/>
      <c r="H200" s="497"/>
      <c r="I200" s="497"/>
      <c r="J200" s="498"/>
      <c r="K200" s="505">
        <f t="shared" si="14"/>
        <v>0</v>
      </c>
      <c r="L200" s="503"/>
      <c r="M200" s="503"/>
      <c r="N200" s="504"/>
      <c r="O200" s="502">
        <f t="shared" si="15"/>
        <v>0</v>
      </c>
      <c r="P200" s="503"/>
      <c r="Q200" s="503"/>
      <c r="R200" s="504"/>
      <c r="S200" s="32"/>
      <c r="T200" s="483"/>
      <c r="U200" s="483"/>
      <c r="V200" s="483"/>
      <c r="W200" s="483"/>
      <c r="X200" s="483"/>
      <c r="Y200" s="483"/>
      <c r="Z200" s="483"/>
      <c r="AA200" s="483"/>
      <c r="AB200" s="160"/>
      <c r="AC200" s="160"/>
      <c r="AD200" s="161"/>
      <c r="AE200" s="161"/>
      <c r="AF200" s="161"/>
    </row>
    <row r="201" spans="1:32" ht="30.75" customHeight="1">
      <c r="A201" s="141">
        <v>10821</v>
      </c>
      <c r="B201" s="133" t="s">
        <v>252</v>
      </c>
      <c r="C201" s="496"/>
      <c r="D201" s="497"/>
      <c r="E201" s="497"/>
      <c r="F201" s="498"/>
      <c r="G201" s="496"/>
      <c r="H201" s="497"/>
      <c r="I201" s="497"/>
      <c r="J201" s="498"/>
      <c r="K201" s="505">
        <f t="shared" si="14"/>
        <v>0</v>
      </c>
      <c r="L201" s="503"/>
      <c r="M201" s="503"/>
      <c r="N201" s="504"/>
      <c r="O201" s="502">
        <f t="shared" si="15"/>
        <v>0</v>
      </c>
      <c r="P201" s="503"/>
      <c r="Q201" s="503"/>
      <c r="R201" s="504"/>
      <c r="S201" s="32"/>
      <c r="T201" s="483"/>
      <c r="U201" s="483"/>
      <c r="V201" s="483"/>
      <c r="W201" s="483"/>
      <c r="X201" s="483"/>
      <c r="Y201" s="483"/>
      <c r="Z201" s="483"/>
      <c r="AA201" s="483"/>
      <c r="AB201" s="160"/>
      <c r="AC201" s="160"/>
      <c r="AD201" s="161"/>
      <c r="AE201" s="161"/>
      <c r="AF201" s="161"/>
    </row>
    <row r="202" spans="1:32" ht="30.75" customHeight="1">
      <c r="A202" s="141">
        <v>10822</v>
      </c>
      <c r="B202" s="133" t="s">
        <v>464</v>
      </c>
      <c r="C202" s="496"/>
      <c r="D202" s="497"/>
      <c r="E202" s="497"/>
      <c r="F202" s="498"/>
      <c r="G202" s="496"/>
      <c r="H202" s="497"/>
      <c r="I202" s="497"/>
      <c r="J202" s="498"/>
      <c r="K202" s="505">
        <f t="shared" si="14"/>
        <v>0</v>
      </c>
      <c r="L202" s="503"/>
      <c r="M202" s="503"/>
      <c r="N202" s="504"/>
      <c r="O202" s="502">
        <f t="shared" si="15"/>
        <v>0</v>
      </c>
      <c r="P202" s="503"/>
      <c r="Q202" s="503"/>
      <c r="R202" s="504"/>
      <c r="S202" s="32"/>
      <c r="T202" s="483"/>
      <c r="U202" s="483"/>
      <c r="V202" s="483"/>
      <c r="W202" s="483"/>
      <c r="X202" s="483"/>
      <c r="Y202" s="483"/>
      <c r="Z202" s="483"/>
      <c r="AA202" s="483"/>
      <c r="AB202" s="160"/>
      <c r="AC202" s="160"/>
      <c r="AD202" s="161"/>
      <c r="AE202" s="161"/>
      <c r="AF202" s="161"/>
    </row>
    <row r="203" spans="1:32" ht="30.75" customHeight="1">
      <c r="A203" s="141">
        <v>10823</v>
      </c>
      <c r="B203" s="133" t="s">
        <v>465</v>
      </c>
      <c r="C203" s="496"/>
      <c r="D203" s="497"/>
      <c r="E203" s="497"/>
      <c r="F203" s="498"/>
      <c r="G203" s="496"/>
      <c r="H203" s="497"/>
      <c r="I203" s="497"/>
      <c r="J203" s="498"/>
      <c r="K203" s="505">
        <f t="shared" si="14"/>
        <v>0</v>
      </c>
      <c r="L203" s="503"/>
      <c r="M203" s="503"/>
      <c r="N203" s="504"/>
      <c r="O203" s="502">
        <f t="shared" si="15"/>
        <v>0</v>
      </c>
      <c r="P203" s="503"/>
      <c r="Q203" s="503"/>
      <c r="R203" s="504"/>
      <c r="S203" s="32"/>
      <c r="T203" s="483"/>
      <c r="U203" s="483"/>
      <c r="V203" s="483"/>
      <c r="W203" s="483"/>
      <c r="X203" s="483"/>
      <c r="Y203" s="483"/>
      <c r="Z203" s="483"/>
      <c r="AA203" s="483"/>
      <c r="AB203" s="160"/>
      <c r="AC203" s="160"/>
      <c r="AD203" s="161"/>
      <c r="AE203" s="161"/>
      <c r="AF203" s="161"/>
    </row>
    <row r="204" spans="1:32" ht="30.75" customHeight="1">
      <c r="A204" s="141">
        <v>10824</v>
      </c>
      <c r="B204" s="133" t="s">
        <v>466</v>
      </c>
      <c r="C204" s="496"/>
      <c r="D204" s="497"/>
      <c r="E204" s="497"/>
      <c r="F204" s="498"/>
      <c r="G204" s="496"/>
      <c r="H204" s="497"/>
      <c r="I204" s="497"/>
      <c r="J204" s="498"/>
      <c r="K204" s="505">
        <f t="shared" si="14"/>
        <v>0</v>
      </c>
      <c r="L204" s="503"/>
      <c r="M204" s="503"/>
      <c r="N204" s="504"/>
      <c r="O204" s="502">
        <f t="shared" si="15"/>
        <v>0</v>
      </c>
      <c r="P204" s="503"/>
      <c r="Q204" s="503"/>
      <c r="R204" s="504"/>
      <c r="S204" s="32"/>
      <c r="T204" s="483"/>
      <c r="U204" s="483"/>
      <c r="V204" s="483"/>
      <c r="W204" s="483"/>
      <c r="X204" s="483"/>
      <c r="Y204" s="483"/>
      <c r="Z204" s="483"/>
      <c r="AA204" s="483"/>
      <c r="AB204" s="160"/>
      <c r="AC204" s="160"/>
      <c r="AD204" s="161"/>
      <c r="AE204" s="161"/>
      <c r="AF204" s="161"/>
    </row>
    <row r="205" spans="1:32" ht="30.75" customHeight="1">
      <c r="A205" s="141">
        <v>10825</v>
      </c>
      <c r="B205" s="133" t="s">
        <v>467</v>
      </c>
      <c r="C205" s="496"/>
      <c r="D205" s="497"/>
      <c r="E205" s="497"/>
      <c r="F205" s="498"/>
      <c r="G205" s="496"/>
      <c r="H205" s="497"/>
      <c r="I205" s="497"/>
      <c r="J205" s="498"/>
      <c r="K205" s="505">
        <f t="shared" si="14"/>
        <v>0</v>
      </c>
      <c r="L205" s="503"/>
      <c r="M205" s="503"/>
      <c r="N205" s="504"/>
      <c r="O205" s="502">
        <f t="shared" si="15"/>
        <v>0</v>
      </c>
      <c r="P205" s="503"/>
      <c r="Q205" s="503"/>
      <c r="R205" s="504"/>
      <c r="S205" s="32"/>
      <c r="T205" s="483"/>
      <c r="U205" s="483"/>
      <c r="V205" s="483"/>
      <c r="W205" s="483"/>
      <c r="X205" s="483"/>
      <c r="Y205" s="483"/>
      <c r="Z205" s="483"/>
      <c r="AA205" s="483"/>
      <c r="AB205" s="160"/>
      <c r="AC205" s="160"/>
      <c r="AD205" s="161"/>
      <c r="AE205" s="161"/>
      <c r="AF205" s="161"/>
    </row>
    <row r="206" spans="1:32" ht="30.75" customHeight="1">
      <c r="A206" s="141">
        <v>10826</v>
      </c>
      <c r="B206" s="133" t="s">
        <v>468</v>
      </c>
      <c r="C206" s="496"/>
      <c r="D206" s="497"/>
      <c r="E206" s="497"/>
      <c r="F206" s="498"/>
      <c r="G206" s="496"/>
      <c r="H206" s="497"/>
      <c r="I206" s="497"/>
      <c r="J206" s="498"/>
      <c r="K206" s="505">
        <f t="shared" si="14"/>
        <v>0</v>
      </c>
      <c r="L206" s="503"/>
      <c r="M206" s="503"/>
      <c r="N206" s="504"/>
      <c r="O206" s="502">
        <f t="shared" si="15"/>
        <v>0</v>
      </c>
      <c r="P206" s="503"/>
      <c r="Q206" s="503"/>
      <c r="R206" s="504"/>
      <c r="S206" s="32"/>
      <c r="T206" s="483"/>
      <c r="U206" s="483"/>
      <c r="V206" s="483"/>
      <c r="W206" s="483"/>
      <c r="X206" s="483"/>
      <c r="Y206" s="483"/>
      <c r="Z206" s="483"/>
      <c r="AA206" s="483"/>
      <c r="AB206" s="160"/>
      <c r="AC206" s="160"/>
      <c r="AD206" s="161"/>
      <c r="AE206" s="161"/>
      <c r="AF206" s="161"/>
    </row>
    <row r="207" spans="1:32" ht="30.75" customHeight="1">
      <c r="A207" s="141">
        <v>10827</v>
      </c>
      <c r="B207" s="133" t="s">
        <v>469</v>
      </c>
      <c r="C207" s="496"/>
      <c r="D207" s="497"/>
      <c r="E207" s="497"/>
      <c r="F207" s="498"/>
      <c r="G207" s="496"/>
      <c r="H207" s="497"/>
      <c r="I207" s="497"/>
      <c r="J207" s="498"/>
      <c r="K207" s="505">
        <f t="shared" si="14"/>
        <v>0</v>
      </c>
      <c r="L207" s="503"/>
      <c r="M207" s="503"/>
      <c r="N207" s="504"/>
      <c r="O207" s="502">
        <f t="shared" si="15"/>
        <v>0</v>
      </c>
      <c r="P207" s="503"/>
      <c r="Q207" s="503"/>
      <c r="R207" s="504"/>
      <c r="S207" s="32"/>
      <c r="T207" s="483"/>
      <c r="U207" s="483"/>
      <c r="V207" s="483"/>
      <c r="W207" s="483"/>
      <c r="X207" s="483"/>
      <c r="Y207" s="483"/>
      <c r="Z207" s="483"/>
      <c r="AA207" s="483"/>
      <c r="AB207" s="160"/>
      <c r="AC207" s="160"/>
      <c r="AD207" s="161"/>
      <c r="AE207" s="161"/>
      <c r="AF207" s="161"/>
    </row>
    <row r="208" spans="1:32" ht="30.75" customHeight="1">
      <c r="A208" s="141">
        <v>10828</v>
      </c>
      <c r="B208" s="133" t="s">
        <v>470</v>
      </c>
      <c r="C208" s="496"/>
      <c r="D208" s="497"/>
      <c r="E208" s="497"/>
      <c r="F208" s="498"/>
      <c r="G208" s="496"/>
      <c r="H208" s="497"/>
      <c r="I208" s="497"/>
      <c r="J208" s="498"/>
      <c r="K208" s="505">
        <f t="shared" si="14"/>
        <v>0</v>
      </c>
      <c r="L208" s="503"/>
      <c r="M208" s="503"/>
      <c r="N208" s="504"/>
      <c r="O208" s="502">
        <f t="shared" si="15"/>
        <v>0</v>
      </c>
      <c r="P208" s="503"/>
      <c r="Q208" s="503"/>
      <c r="R208" s="504"/>
      <c r="S208" s="32"/>
      <c r="T208" s="483"/>
      <c r="U208" s="483"/>
      <c r="V208" s="483"/>
      <c r="W208" s="483"/>
      <c r="X208" s="483"/>
      <c r="Y208" s="483"/>
      <c r="Z208" s="483"/>
      <c r="AA208" s="483"/>
      <c r="AB208" s="160"/>
      <c r="AC208" s="160"/>
      <c r="AD208" s="161"/>
      <c r="AE208" s="161"/>
      <c r="AF208" s="161"/>
    </row>
    <row r="209" spans="1:33" ht="30.75" customHeight="1">
      <c r="A209" s="141">
        <v>10829</v>
      </c>
      <c r="B209" s="133" t="s">
        <v>249</v>
      </c>
      <c r="C209" s="496"/>
      <c r="D209" s="497"/>
      <c r="E209" s="497"/>
      <c r="F209" s="498"/>
      <c r="G209" s="496"/>
      <c r="H209" s="497"/>
      <c r="I209" s="497"/>
      <c r="J209" s="498"/>
      <c r="K209" s="505">
        <f t="shared" si="14"/>
        <v>0</v>
      </c>
      <c r="L209" s="503"/>
      <c r="M209" s="503"/>
      <c r="N209" s="504"/>
      <c r="O209" s="502">
        <f t="shared" si="15"/>
        <v>0</v>
      </c>
      <c r="P209" s="503"/>
      <c r="Q209" s="503"/>
      <c r="R209" s="504"/>
      <c r="S209" s="32"/>
      <c r="T209" s="484" t="str">
        <f>IF(G209-C209=K202+K203+K204+K205+K206+K207+K208," ","مغایرت دریافتی از خزانه در سنوات قبل اختصاصی با مانده (پیش پرداخت ، هزینه ها ، علی الحساب و... ) ازمحل اختصاصی سال قبل")</f>
        <v xml:space="preserve"> </v>
      </c>
      <c r="U209" s="484"/>
      <c r="V209" s="484"/>
      <c r="W209" s="484"/>
      <c r="X209" s="484"/>
      <c r="Y209" s="484"/>
      <c r="Z209" s="484"/>
      <c r="AA209" s="484"/>
      <c r="AB209" s="484"/>
      <c r="AC209" s="484"/>
      <c r="AD209" s="484"/>
      <c r="AE209" s="484"/>
      <c r="AF209" s="484"/>
      <c r="AG209" s="484"/>
    </row>
    <row r="210" spans="1:33" ht="30.75" customHeight="1">
      <c r="A210" s="141">
        <v>10830</v>
      </c>
      <c r="B210" s="133" t="s">
        <v>253</v>
      </c>
      <c r="C210" s="496"/>
      <c r="D210" s="497"/>
      <c r="E210" s="497"/>
      <c r="F210" s="498"/>
      <c r="G210" s="496"/>
      <c r="H210" s="497"/>
      <c r="I210" s="497"/>
      <c r="J210" s="498"/>
      <c r="K210" s="505">
        <f t="shared" si="14"/>
        <v>0</v>
      </c>
      <c r="L210" s="503"/>
      <c r="M210" s="503"/>
      <c r="N210" s="504"/>
      <c r="O210" s="502">
        <f t="shared" si="15"/>
        <v>0</v>
      </c>
      <c r="P210" s="503"/>
      <c r="Q210" s="503"/>
      <c r="R210" s="504"/>
      <c r="S210" s="32"/>
      <c r="T210" s="484" t="str">
        <f>IF(C210-G210=K202+K204," ","مغایرت مانده تامین اعتباراختصاصی سنواتی با مانده پرداخت های غیر قطعی اختصاصی سنواتی (پیش پرداخت ،علی الحساب و ")</f>
        <v xml:space="preserve"> </v>
      </c>
      <c r="U210" s="484"/>
      <c r="V210" s="484"/>
      <c r="W210" s="484"/>
      <c r="X210" s="484"/>
      <c r="Y210" s="484"/>
      <c r="Z210" s="484"/>
      <c r="AA210" s="484"/>
      <c r="AB210" s="484"/>
      <c r="AC210" s="484"/>
      <c r="AD210" s="484"/>
      <c r="AE210" s="484"/>
      <c r="AF210" s="484"/>
      <c r="AG210" s="484"/>
    </row>
    <row r="211" spans="1:33" ht="30.75" customHeight="1" thickBot="1">
      <c r="A211" s="142">
        <v>10831</v>
      </c>
      <c r="B211" s="134" t="s">
        <v>254</v>
      </c>
      <c r="C211" s="496"/>
      <c r="D211" s="497"/>
      <c r="E211" s="497"/>
      <c r="F211" s="498"/>
      <c r="G211" s="496"/>
      <c r="H211" s="497"/>
      <c r="I211" s="497"/>
      <c r="J211" s="498"/>
      <c r="K211" s="548">
        <f t="shared" si="14"/>
        <v>0</v>
      </c>
      <c r="L211" s="549"/>
      <c r="M211" s="549"/>
      <c r="N211" s="550"/>
      <c r="O211" s="551">
        <f t="shared" si="15"/>
        <v>0</v>
      </c>
      <c r="P211" s="549"/>
      <c r="Q211" s="549"/>
      <c r="R211" s="550"/>
      <c r="S211" s="32"/>
      <c r="T211" s="483" t="str">
        <f>IF(G211-C211=C210-G210," ","  مغایرت مانده ذخیره تامین اعتبار اختصاصی سنواتی با مانده تامین اعتبار اختصاصی سنواتی")</f>
        <v xml:space="preserve"> </v>
      </c>
      <c r="U211" s="483"/>
      <c r="V211" s="483"/>
      <c r="W211" s="483"/>
      <c r="X211" s="483"/>
      <c r="Y211" s="483"/>
      <c r="Z211" s="483"/>
      <c r="AA211" s="483"/>
      <c r="AB211" s="483"/>
      <c r="AC211" s="483"/>
      <c r="AD211" s="483"/>
      <c r="AE211" s="483"/>
      <c r="AF211" s="483"/>
      <c r="AG211" s="483"/>
    </row>
    <row r="212" spans="1:33" ht="30.75" customHeight="1" thickBot="1">
      <c r="A212" s="529" t="s">
        <v>127</v>
      </c>
      <c r="B212" s="530"/>
      <c r="C212" s="516">
        <f>SUM(C181:F211)</f>
        <v>0</v>
      </c>
      <c r="D212" s="517"/>
      <c r="E212" s="517"/>
      <c r="F212" s="518"/>
      <c r="G212" s="516">
        <f>SUM(G181:J211)</f>
        <v>0</v>
      </c>
      <c r="H212" s="517"/>
      <c r="I212" s="517"/>
      <c r="J212" s="519"/>
      <c r="K212" s="520">
        <f>SUM(K181:N211)</f>
        <v>0</v>
      </c>
      <c r="L212" s="517"/>
      <c r="M212" s="517"/>
      <c r="N212" s="518"/>
      <c r="O212" s="521">
        <f>SUM(O181:R211)</f>
        <v>0</v>
      </c>
      <c r="P212" s="522"/>
      <c r="Q212" s="522"/>
      <c r="R212" s="523"/>
      <c r="S212" s="32"/>
      <c r="T212" s="481" t="str">
        <f>IF(K212=O212," "," مغایرت جمع مانده بدهکار با جمع مانده بستانکار")</f>
        <v xml:space="preserve"> </v>
      </c>
      <c r="U212" s="481"/>
      <c r="V212" s="481"/>
      <c r="W212" s="481"/>
      <c r="X212" s="481"/>
      <c r="Y212" s="481"/>
      <c r="Z212" s="481"/>
      <c r="AA212" s="481"/>
      <c r="AB212" s="160"/>
      <c r="AC212" s="160"/>
      <c r="AD212" s="161"/>
      <c r="AE212" s="161"/>
      <c r="AF212" s="161"/>
    </row>
    <row r="213" spans="1:33" s="2" customFormat="1" ht="28.5" thickBot="1">
      <c r="A213" s="140">
        <v>109</v>
      </c>
      <c r="B213" s="30"/>
      <c r="C213" s="499" t="s">
        <v>526</v>
      </c>
      <c r="D213" s="500"/>
      <c r="E213" s="500"/>
      <c r="F213" s="500"/>
      <c r="G213" s="500"/>
      <c r="H213" s="500"/>
      <c r="I213" s="500"/>
      <c r="J213" s="500"/>
      <c r="K213" s="500"/>
      <c r="L213" s="500"/>
      <c r="M213" s="500"/>
      <c r="N213" s="500"/>
      <c r="O213" s="500"/>
      <c r="P213" s="500"/>
      <c r="Q213" s="500"/>
      <c r="R213" s="501"/>
      <c r="S213" s="33"/>
      <c r="T213" s="483"/>
      <c r="U213" s="483"/>
      <c r="V213" s="483"/>
      <c r="W213" s="483"/>
      <c r="X213" s="483"/>
      <c r="Y213" s="483"/>
      <c r="Z213" s="483"/>
      <c r="AA213" s="483"/>
      <c r="AB213" s="96"/>
      <c r="AC213" s="96"/>
    </row>
    <row r="214" spans="1:33" ht="30.75" customHeight="1">
      <c r="A214" s="143">
        <v>10901</v>
      </c>
      <c r="B214" s="133" t="s">
        <v>471</v>
      </c>
      <c r="C214" s="496"/>
      <c r="D214" s="497"/>
      <c r="E214" s="497"/>
      <c r="F214" s="498"/>
      <c r="G214" s="496"/>
      <c r="H214" s="497"/>
      <c r="I214" s="497"/>
      <c r="J214" s="498"/>
      <c r="K214" s="505">
        <f>IF(C214&gt;G214,C214-G214,0)</f>
        <v>0</v>
      </c>
      <c r="L214" s="503"/>
      <c r="M214" s="503"/>
      <c r="N214" s="504"/>
      <c r="O214" s="502">
        <f>IF(G214&gt;C214,G214-C214,0)</f>
        <v>0</v>
      </c>
      <c r="P214" s="503"/>
      <c r="Q214" s="503"/>
      <c r="R214" s="504"/>
      <c r="S214" s="32"/>
      <c r="T214" s="483" t="str">
        <f>IF(G214-C214=C215-G215," ","مغایرت مانده دستگاه اجرایی ابلاغی اختصاصی با اعتبار ابلاغی اختصاصی مصوب")</f>
        <v xml:space="preserve"> </v>
      </c>
      <c r="U214" s="483"/>
      <c r="V214" s="483"/>
      <c r="W214" s="483"/>
      <c r="X214" s="483"/>
      <c r="Y214" s="483"/>
      <c r="Z214" s="483"/>
      <c r="AA214" s="483"/>
      <c r="AB214" s="160"/>
      <c r="AC214" s="160"/>
      <c r="AD214" s="161"/>
      <c r="AE214" s="161"/>
      <c r="AF214" s="161"/>
    </row>
    <row r="215" spans="1:33" ht="30.75" customHeight="1">
      <c r="A215" s="141">
        <v>10902</v>
      </c>
      <c r="B215" s="133" t="s">
        <v>472</v>
      </c>
      <c r="C215" s="496"/>
      <c r="D215" s="497"/>
      <c r="E215" s="497"/>
      <c r="F215" s="498"/>
      <c r="G215" s="496"/>
      <c r="H215" s="497"/>
      <c r="I215" s="497"/>
      <c r="J215" s="498"/>
      <c r="K215" s="505">
        <f>IF(C215&gt;G215,C215-G215,0)</f>
        <v>0</v>
      </c>
      <c r="L215" s="503"/>
      <c r="M215" s="503"/>
      <c r="N215" s="504"/>
      <c r="O215" s="502">
        <f>IF(G215&gt;C215,G215-C215,0)</f>
        <v>0</v>
      </c>
      <c r="P215" s="503"/>
      <c r="Q215" s="503"/>
      <c r="R215" s="504"/>
      <c r="S215" s="32"/>
      <c r="T215" s="483"/>
      <c r="U215" s="483"/>
      <c r="V215" s="483"/>
      <c r="W215" s="483"/>
      <c r="X215" s="483"/>
      <c r="Y215" s="483"/>
      <c r="Z215" s="483"/>
      <c r="AA215" s="483"/>
      <c r="AB215" s="160"/>
      <c r="AC215" s="160"/>
      <c r="AD215" s="161"/>
      <c r="AE215" s="161"/>
      <c r="AF215" s="161"/>
    </row>
    <row r="216" spans="1:33" ht="30.75" customHeight="1">
      <c r="A216" s="141">
        <v>10903</v>
      </c>
      <c r="B216" s="133" t="s">
        <v>473</v>
      </c>
      <c r="C216" s="496"/>
      <c r="D216" s="497"/>
      <c r="E216" s="497"/>
      <c r="F216" s="498"/>
      <c r="G216" s="496"/>
      <c r="H216" s="497"/>
      <c r="I216" s="497"/>
      <c r="J216" s="498"/>
      <c r="K216" s="505">
        <f t="shared" ref="K216:K237" si="16">IF(C216&gt;G216,C216-G216,0)</f>
        <v>0</v>
      </c>
      <c r="L216" s="503"/>
      <c r="M216" s="503"/>
      <c r="N216" s="504"/>
      <c r="O216" s="502">
        <f t="shared" ref="O216:O237" si="17">IF(G216&gt;C216,G216-C216,0)</f>
        <v>0</v>
      </c>
      <c r="P216" s="503"/>
      <c r="Q216" s="503"/>
      <c r="R216" s="504"/>
      <c r="S216" s="32"/>
      <c r="T216" s="484" t="str">
        <f>IF(G216-C216=K217+K220+K221+K222+K223+K224+K225+K226+K227," "," مغایرت دریافتی از خزانه بابت اعتبار ابلاغی اختصاصی با مانده (بانک پرداخت ، هزینه ، پیش پرداخت ، علی الحساب و... ) ازمحل اعتبار ابلاغی اختصاصی")</f>
        <v xml:space="preserve"> </v>
      </c>
      <c r="U216" s="484"/>
      <c r="V216" s="484"/>
      <c r="W216" s="484"/>
      <c r="X216" s="484"/>
      <c r="Y216" s="484"/>
      <c r="Z216" s="484"/>
      <c r="AA216" s="484"/>
      <c r="AB216" s="484"/>
      <c r="AC216" s="484"/>
      <c r="AD216" s="484"/>
      <c r="AE216" s="484"/>
      <c r="AF216" s="484"/>
      <c r="AG216" s="484"/>
    </row>
    <row r="217" spans="1:33" ht="30.75" customHeight="1">
      <c r="A217" s="141">
        <v>10904</v>
      </c>
      <c r="B217" s="133" t="s">
        <v>474</v>
      </c>
      <c r="C217" s="496"/>
      <c r="D217" s="497"/>
      <c r="E217" s="497"/>
      <c r="F217" s="498"/>
      <c r="G217" s="496"/>
      <c r="H217" s="497"/>
      <c r="I217" s="497"/>
      <c r="J217" s="498"/>
      <c r="K217" s="505">
        <f t="shared" si="16"/>
        <v>0</v>
      </c>
      <c r="L217" s="503"/>
      <c r="M217" s="503"/>
      <c r="N217" s="504"/>
      <c r="O217" s="502">
        <f t="shared" si="17"/>
        <v>0</v>
      </c>
      <c r="P217" s="503"/>
      <c r="Q217" s="503"/>
      <c r="R217" s="504"/>
      <c r="S217" s="32"/>
      <c r="T217" s="484"/>
      <c r="U217" s="484"/>
      <c r="V217" s="484"/>
      <c r="W217" s="484"/>
      <c r="X217" s="484"/>
      <c r="Y217" s="484"/>
      <c r="Z217" s="484"/>
      <c r="AA217" s="484"/>
      <c r="AB217" s="484"/>
      <c r="AC217" s="484"/>
      <c r="AD217" s="484"/>
      <c r="AE217" s="484"/>
      <c r="AF217" s="484"/>
      <c r="AG217" s="484"/>
    </row>
    <row r="218" spans="1:33" ht="30.75" customHeight="1">
      <c r="A218" s="141">
        <v>10905</v>
      </c>
      <c r="B218" s="133" t="s">
        <v>475</v>
      </c>
      <c r="C218" s="496"/>
      <c r="D218" s="497"/>
      <c r="E218" s="497"/>
      <c r="F218" s="498"/>
      <c r="G218" s="496"/>
      <c r="H218" s="497"/>
      <c r="I218" s="497"/>
      <c r="J218" s="498"/>
      <c r="K218" s="505">
        <f t="shared" si="16"/>
        <v>0</v>
      </c>
      <c r="L218" s="503"/>
      <c r="M218" s="503"/>
      <c r="N218" s="504"/>
      <c r="O218" s="502">
        <f t="shared" si="17"/>
        <v>0</v>
      </c>
      <c r="P218" s="503"/>
      <c r="Q218" s="503"/>
      <c r="R218" s="504"/>
      <c r="S218" s="32"/>
      <c r="T218" s="484" t="str">
        <f>IF(C218-G218=K221+K222," "," مغایرت مانده تامین اعتبارابلاغی اختصاصی با مانده پرداخت های غیر قطعی ابلاغی اختصاصی (پیش پرداخت ،علی الحساب و . . .)")</f>
        <v xml:space="preserve"> </v>
      </c>
      <c r="U218" s="484"/>
      <c r="V218" s="484"/>
      <c r="W218" s="484"/>
      <c r="X218" s="484"/>
      <c r="Y218" s="484"/>
      <c r="Z218" s="484"/>
      <c r="AA218" s="484"/>
      <c r="AB218" s="484"/>
      <c r="AC218" s="484"/>
      <c r="AD218" s="484"/>
      <c r="AE218" s="484"/>
      <c r="AF218" s="484"/>
      <c r="AG218" s="484"/>
    </row>
    <row r="219" spans="1:33" ht="30.75" customHeight="1">
      <c r="A219" s="141">
        <v>10906</v>
      </c>
      <c r="B219" s="133" t="s">
        <v>476</v>
      </c>
      <c r="C219" s="496"/>
      <c r="D219" s="497"/>
      <c r="E219" s="497"/>
      <c r="F219" s="498"/>
      <c r="G219" s="496"/>
      <c r="H219" s="497"/>
      <c r="I219" s="497"/>
      <c r="J219" s="498"/>
      <c r="K219" s="505">
        <f t="shared" si="16"/>
        <v>0</v>
      </c>
      <c r="L219" s="503"/>
      <c r="M219" s="503"/>
      <c r="N219" s="504"/>
      <c r="O219" s="502">
        <f t="shared" si="17"/>
        <v>0</v>
      </c>
      <c r="P219" s="503"/>
      <c r="Q219" s="503"/>
      <c r="R219" s="504"/>
      <c r="S219" s="32"/>
      <c r="T219" s="484" t="str">
        <f>IF(G219-C219=C218-G218," ","مغایرت مانده ذخیره تامین اعتبار اختصاصی با مانده تامین اعتبار اختصاصی")</f>
        <v xml:space="preserve"> </v>
      </c>
      <c r="U219" s="484"/>
      <c r="V219" s="484"/>
      <c r="W219" s="484"/>
      <c r="X219" s="484"/>
      <c r="Y219" s="484"/>
      <c r="Z219" s="484"/>
      <c r="AA219" s="484"/>
      <c r="AB219" s="484"/>
      <c r="AC219" s="484"/>
      <c r="AD219" s="484"/>
      <c r="AE219" s="484"/>
      <c r="AF219" s="484"/>
      <c r="AG219" s="484"/>
    </row>
    <row r="220" spans="1:33" ht="30.75" customHeight="1">
      <c r="A220" s="141">
        <v>10907</v>
      </c>
      <c r="B220" s="133" t="s">
        <v>477</v>
      </c>
      <c r="C220" s="496"/>
      <c r="D220" s="497"/>
      <c r="E220" s="497"/>
      <c r="F220" s="498"/>
      <c r="G220" s="496"/>
      <c r="H220" s="497"/>
      <c r="I220" s="497"/>
      <c r="J220" s="498"/>
      <c r="K220" s="505">
        <f t="shared" si="16"/>
        <v>0</v>
      </c>
      <c r="L220" s="503"/>
      <c r="M220" s="503"/>
      <c r="N220" s="504"/>
      <c r="O220" s="502">
        <f t="shared" si="17"/>
        <v>0</v>
      </c>
      <c r="P220" s="503"/>
      <c r="Q220" s="503"/>
      <c r="R220" s="504"/>
      <c r="S220" s="32"/>
      <c r="T220" s="484"/>
      <c r="U220" s="484"/>
      <c r="V220" s="484"/>
      <c r="W220" s="484"/>
      <c r="X220" s="484"/>
      <c r="Y220" s="484"/>
      <c r="Z220" s="484"/>
      <c r="AA220" s="484"/>
      <c r="AB220" s="484"/>
      <c r="AC220" s="484"/>
      <c r="AD220" s="484"/>
      <c r="AE220" s="484"/>
      <c r="AF220" s="484"/>
      <c r="AG220" s="484"/>
    </row>
    <row r="221" spans="1:33" ht="30.75" customHeight="1">
      <c r="A221" s="141">
        <v>10908</v>
      </c>
      <c r="B221" s="133" t="s">
        <v>478</v>
      </c>
      <c r="C221" s="496"/>
      <c r="D221" s="497"/>
      <c r="E221" s="497"/>
      <c r="F221" s="498"/>
      <c r="G221" s="496"/>
      <c r="H221" s="497"/>
      <c r="I221" s="497"/>
      <c r="J221" s="498"/>
      <c r="K221" s="505">
        <f t="shared" si="16"/>
        <v>0</v>
      </c>
      <c r="L221" s="503"/>
      <c r="M221" s="503"/>
      <c r="N221" s="504"/>
      <c r="O221" s="502">
        <f t="shared" si="17"/>
        <v>0</v>
      </c>
      <c r="P221" s="503"/>
      <c r="Q221" s="503"/>
      <c r="R221" s="504"/>
      <c r="S221" s="32"/>
      <c r="T221" s="484"/>
      <c r="U221" s="484"/>
      <c r="V221" s="484"/>
      <c r="W221" s="484"/>
      <c r="X221" s="484"/>
      <c r="Y221" s="484"/>
      <c r="Z221" s="484"/>
      <c r="AA221" s="484"/>
      <c r="AB221" s="484"/>
      <c r="AC221" s="484"/>
      <c r="AD221" s="484"/>
      <c r="AE221" s="484"/>
      <c r="AF221" s="484"/>
      <c r="AG221" s="484"/>
    </row>
    <row r="222" spans="1:33" ht="30.75" customHeight="1">
      <c r="A222" s="141">
        <v>10909</v>
      </c>
      <c r="B222" s="133" t="s">
        <v>479</v>
      </c>
      <c r="C222" s="496"/>
      <c r="D222" s="497"/>
      <c r="E222" s="497"/>
      <c r="F222" s="498"/>
      <c r="G222" s="496"/>
      <c r="H222" s="497"/>
      <c r="I222" s="497"/>
      <c r="J222" s="498"/>
      <c r="K222" s="505">
        <f t="shared" si="16"/>
        <v>0</v>
      </c>
      <c r="L222" s="503"/>
      <c r="M222" s="503"/>
      <c r="N222" s="504"/>
      <c r="O222" s="502">
        <f t="shared" si="17"/>
        <v>0</v>
      </c>
      <c r="P222" s="503"/>
      <c r="Q222" s="503"/>
      <c r="R222" s="504"/>
      <c r="S222" s="32"/>
      <c r="T222" s="484"/>
      <c r="U222" s="484"/>
      <c r="V222" s="484"/>
      <c r="W222" s="484"/>
      <c r="X222" s="484"/>
      <c r="Y222" s="484"/>
      <c r="Z222" s="484"/>
      <c r="AA222" s="484"/>
      <c r="AB222" s="484"/>
      <c r="AC222" s="484"/>
      <c r="AD222" s="484"/>
      <c r="AE222" s="484"/>
      <c r="AF222" s="484"/>
      <c r="AG222" s="484"/>
    </row>
    <row r="223" spans="1:33" ht="30.75" customHeight="1">
      <c r="A223" s="141">
        <v>10910</v>
      </c>
      <c r="B223" s="133" t="s">
        <v>480</v>
      </c>
      <c r="C223" s="496"/>
      <c r="D223" s="497"/>
      <c r="E223" s="497"/>
      <c r="F223" s="498"/>
      <c r="G223" s="496"/>
      <c r="H223" s="497"/>
      <c r="I223" s="497"/>
      <c r="J223" s="498"/>
      <c r="K223" s="505">
        <f t="shared" si="16"/>
        <v>0</v>
      </c>
      <c r="L223" s="503"/>
      <c r="M223" s="503"/>
      <c r="N223" s="504"/>
      <c r="O223" s="502">
        <f t="shared" si="17"/>
        <v>0</v>
      </c>
      <c r="P223" s="503"/>
      <c r="Q223" s="503"/>
      <c r="R223" s="504"/>
      <c r="S223" s="32"/>
      <c r="T223" s="484"/>
      <c r="U223" s="484"/>
      <c r="V223" s="484"/>
      <c r="W223" s="484"/>
      <c r="X223" s="484"/>
      <c r="Y223" s="484"/>
      <c r="Z223" s="484"/>
      <c r="AA223" s="484"/>
      <c r="AB223" s="484"/>
      <c r="AC223" s="484"/>
      <c r="AD223" s="484"/>
      <c r="AE223" s="484"/>
      <c r="AF223" s="484"/>
      <c r="AG223" s="484"/>
    </row>
    <row r="224" spans="1:33" ht="30.75" customHeight="1">
      <c r="A224" s="141">
        <v>10911</v>
      </c>
      <c r="B224" s="133" t="s">
        <v>481</v>
      </c>
      <c r="C224" s="496"/>
      <c r="D224" s="497"/>
      <c r="E224" s="497"/>
      <c r="F224" s="498"/>
      <c r="G224" s="496"/>
      <c r="H224" s="497"/>
      <c r="I224" s="497"/>
      <c r="J224" s="498"/>
      <c r="K224" s="505">
        <f t="shared" si="16"/>
        <v>0</v>
      </c>
      <c r="L224" s="503"/>
      <c r="M224" s="503"/>
      <c r="N224" s="504"/>
      <c r="O224" s="502">
        <f t="shared" si="17"/>
        <v>0</v>
      </c>
      <c r="P224" s="503"/>
      <c r="Q224" s="503"/>
      <c r="R224" s="504"/>
      <c r="S224" s="32"/>
      <c r="T224" s="484"/>
      <c r="U224" s="484"/>
      <c r="V224" s="484"/>
      <c r="W224" s="484"/>
      <c r="X224" s="484"/>
      <c r="Y224" s="484"/>
      <c r="Z224" s="484"/>
      <c r="AA224" s="484"/>
      <c r="AB224" s="484"/>
      <c r="AC224" s="484"/>
      <c r="AD224" s="484"/>
      <c r="AE224" s="484"/>
      <c r="AF224" s="484"/>
      <c r="AG224" s="484"/>
    </row>
    <row r="225" spans="1:35" ht="30.75" customHeight="1">
      <c r="A225" s="141">
        <v>10912</v>
      </c>
      <c r="B225" s="133" t="s">
        <v>482</v>
      </c>
      <c r="C225" s="496"/>
      <c r="D225" s="497"/>
      <c r="E225" s="497"/>
      <c r="F225" s="498"/>
      <c r="G225" s="496"/>
      <c r="H225" s="497"/>
      <c r="I225" s="497"/>
      <c r="J225" s="498"/>
      <c r="K225" s="505">
        <f t="shared" si="16"/>
        <v>0</v>
      </c>
      <c r="L225" s="503"/>
      <c r="M225" s="503"/>
      <c r="N225" s="504"/>
      <c r="O225" s="502">
        <f t="shared" si="17"/>
        <v>0</v>
      </c>
      <c r="P225" s="503"/>
      <c r="Q225" s="503"/>
      <c r="R225" s="504"/>
      <c r="S225" s="32"/>
      <c r="T225" s="484"/>
      <c r="U225" s="484"/>
      <c r="V225" s="484"/>
      <c r="W225" s="484"/>
      <c r="X225" s="484"/>
      <c r="Y225" s="484"/>
      <c r="Z225" s="484"/>
      <c r="AA225" s="484"/>
      <c r="AB225" s="484"/>
      <c r="AC225" s="484"/>
      <c r="AD225" s="484"/>
      <c r="AE225" s="484"/>
      <c r="AF225" s="484"/>
      <c r="AG225" s="484"/>
    </row>
    <row r="226" spans="1:35" ht="30.75" customHeight="1">
      <c r="A226" s="141">
        <v>10913</v>
      </c>
      <c r="B226" s="133" t="s">
        <v>483</v>
      </c>
      <c r="C226" s="496"/>
      <c r="D226" s="497"/>
      <c r="E226" s="497"/>
      <c r="F226" s="498"/>
      <c r="G226" s="496"/>
      <c r="H226" s="497"/>
      <c r="I226" s="497"/>
      <c r="J226" s="498"/>
      <c r="K226" s="505">
        <f t="shared" si="16"/>
        <v>0</v>
      </c>
      <c r="L226" s="503"/>
      <c r="M226" s="503"/>
      <c r="N226" s="504"/>
      <c r="O226" s="502">
        <f t="shared" si="17"/>
        <v>0</v>
      </c>
      <c r="P226" s="503"/>
      <c r="Q226" s="503"/>
      <c r="R226" s="504"/>
      <c r="S226" s="32"/>
      <c r="T226" s="484"/>
      <c r="U226" s="484"/>
      <c r="V226" s="484"/>
      <c r="W226" s="484"/>
      <c r="X226" s="484"/>
      <c r="Y226" s="484"/>
      <c r="Z226" s="484"/>
      <c r="AA226" s="484"/>
      <c r="AB226" s="484"/>
      <c r="AC226" s="484"/>
      <c r="AD226" s="484"/>
      <c r="AE226" s="484"/>
      <c r="AF226" s="484"/>
      <c r="AG226" s="484"/>
    </row>
    <row r="227" spans="1:35" ht="30.75" customHeight="1">
      <c r="A227" s="141">
        <v>10914</v>
      </c>
      <c r="B227" s="133" t="s">
        <v>484</v>
      </c>
      <c r="C227" s="496"/>
      <c r="D227" s="497"/>
      <c r="E227" s="497"/>
      <c r="F227" s="498"/>
      <c r="G227" s="496"/>
      <c r="H227" s="497"/>
      <c r="I227" s="497"/>
      <c r="J227" s="498"/>
      <c r="K227" s="505">
        <f t="shared" si="16"/>
        <v>0</v>
      </c>
      <c r="L227" s="503"/>
      <c r="M227" s="503"/>
      <c r="N227" s="504"/>
      <c r="O227" s="502">
        <f t="shared" si="17"/>
        <v>0</v>
      </c>
      <c r="P227" s="503"/>
      <c r="Q227" s="503"/>
      <c r="R227" s="504"/>
      <c r="S227" s="32"/>
      <c r="T227" s="484"/>
      <c r="U227" s="484"/>
      <c r="V227" s="484"/>
      <c r="W227" s="484"/>
      <c r="X227" s="484"/>
      <c r="Y227" s="484"/>
      <c r="Z227" s="484"/>
      <c r="AA227" s="484"/>
      <c r="AB227" s="484"/>
      <c r="AC227" s="484"/>
      <c r="AD227" s="484"/>
      <c r="AE227" s="484"/>
      <c r="AF227" s="484"/>
      <c r="AG227" s="484"/>
    </row>
    <row r="228" spans="1:35" ht="30.75" customHeight="1">
      <c r="A228" s="141">
        <v>10915</v>
      </c>
      <c r="B228" s="133" t="s">
        <v>485</v>
      </c>
      <c r="C228" s="496"/>
      <c r="D228" s="497"/>
      <c r="E228" s="497"/>
      <c r="F228" s="498"/>
      <c r="G228" s="496"/>
      <c r="H228" s="497"/>
      <c r="I228" s="497"/>
      <c r="J228" s="498"/>
      <c r="K228" s="505">
        <f t="shared" si="16"/>
        <v>0</v>
      </c>
      <c r="L228" s="503"/>
      <c r="M228" s="503"/>
      <c r="N228" s="504"/>
      <c r="O228" s="502">
        <f t="shared" si="17"/>
        <v>0</v>
      </c>
      <c r="P228" s="503"/>
      <c r="Q228" s="503"/>
      <c r="R228" s="504"/>
      <c r="S228" s="32"/>
      <c r="T228" s="484"/>
      <c r="U228" s="484"/>
      <c r="V228" s="484"/>
      <c r="W228" s="484"/>
      <c r="X228" s="484"/>
      <c r="Y228" s="484"/>
      <c r="Z228" s="484"/>
      <c r="AA228" s="484"/>
      <c r="AB228" s="484"/>
      <c r="AC228" s="484"/>
      <c r="AD228" s="484"/>
      <c r="AE228" s="484"/>
      <c r="AF228" s="484"/>
      <c r="AG228" s="484"/>
    </row>
    <row r="229" spans="1:35" ht="30.75" customHeight="1">
      <c r="A229" s="141">
        <v>10916</v>
      </c>
      <c r="B229" s="133" t="s">
        <v>486</v>
      </c>
      <c r="C229" s="496"/>
      <c r="D229" s="497"/>
      <c r="E229" s="497"/>
      <c r="F229" s="498"/>
      <c r="G229" s="496"/>
      <c r="H229" s="497"/>
      <c r="I229" s="497"/>
      <c r="J229" s="498"/>
      <c r="K229" s="505">
        <f t="shared" si="16"/>
        <v>0</v>
      </c>
      <c r="L229" s="503"/>
      <c r="M229" s="503"/>
      <c r="N229" s="504"/>
      <c r="O229" s="502">
        <f t="shared" si="17"/>
        <v>0</v>
      </c>
      <c r="P229" s="503"/>
      <c r="Q229" s="503"/>
      <c r="R229" s="504"/>
      <c r="S229" s="32"/>
      <c r="T229" s="484"/>
      <c r="U229" s="484"/>
      <c r="V229" s="484"/>
      <c r="W229" s="484"/>
      <c r="X229" s="484"/>
      <c r="Y229" s="484"/>
      <c r="Z229" s="484"/>
      <c r="AA229" s="484"/>
      <c r="AB229" s="484"/>
      <c r="AC229" s="484"/>
      <c r="AD229" s="484"/>
      <c r="AE229" s="484"/>
      <c r="AF229" s="484"/>
      <c r="AG229" s="484"/>
    </row>
    <row r="230" spans="1:35" ht="30.75" customHeight="1">
      <c r="A230" s="141">
        <v>10917</v>
      </c>
      <c r="B230" s="133" t="s">
        <v>487</v>
      </c>
      <c r="C230" s="496"/>
      <c r="D230" s="497"/>
      <c r="E230" s="497"/>
      <c r="F230" s="498"/>
      <c r="G230" s="496"/>
      <c r="H230" s="497"/>
      <c r="I230" s="497"/>
      <c r="J230" s="498"/>
      <c r="K230" s="505">
        <f t="shared" si="16"/>
        <v>0</v>
      </c>
      <c r="L230" s="503"/>
      <c r="M230" s="503"/>
      <c r="N230" s="504"/>
      <c r="O230" s="502">
        <f t="shared" si="17"/>
        <v>0</v>
      </c>
      <c r="P230" s="503"/>
      <c r="Q230" s="503"/>
      <c r="R230" s="504"/>
      <c r="S230" s="32"/>
      <c r="T230" s="484"/>
      <c r="U230" s="484"/>
      <c r="V230" s="484"/>
      <c r="W230" s="484"/>
      <c r="X230" s="484"/>
      <c r="Y230" s="484"/>
      <c r="Z230" s="484"/>
      <c r="AA230" s="484"/>
      <c r="AB230" s="484"/>
      <c r="AC230" s="484"/>
      <c r="AD230" s="484"/>
      <c r="AE230" s="484"/>
      <c r="AF230" s="484"/>
      <c r="AG230" s="484"/>
    </row>
    <row r="231" spans="1:35" ht="30.75" customHeight="1">
      <c r="A231" s="141">
        <v>10918</v>
      </c>
      <c r="B231" s="133" t="s">
        <v>488</v>
      </c>
      <c r="C231" s="496"/>
      <c r="D231" s="497"/>
      <c r="E231" s="497"/>
      <c r="F231" s="498"/>
      <c r="G231" s="496"/>
      <c r="H231" s="497"/>
      <c r="I231" s="497"/>
      <c r="J231" s="498"/>
      <c r="K231" s="505">
        <f t="shared" si="16"/>
        <v>0</v>
      </c>
      <c r="L231" s="503"/>
      <c r="M231" s="503"/>
      <c r="N231" s="504"/>
      <c r="O231" s="502">
        <f t="shared" si="17"/>
        <v>0</v>
      </c>
      <c r="P231" s="503"/>
      <c r="Q231" s="503"/>
      <c r="R231" s="504"/>
      <c r="S231" s="32"/>
      <c r="T231" s="484"/>
      <c r="U231" s="484"/>
      <c r="V231" s="484"/>
      <c r="W231" s="484"/>
      <c r="X231" s="484"/>
      <c r="Y231" s="484"/>
      <c r="Z231" s="484"/>
      <c r="AA231" s="484"/>
      <c r="AB231" s="484"/>
      <c r="AC231" s="484"/>
      <c r="AD231" s="484"/>
      <c r="AE231" s="484"/>
      <c r="AF231" s="484"/>
      <c r="AG231" s="484"/>
    </row>
    <row r="232" spans="1:35" ht="30.75" customHeight="1">
      <c r="A232" s="141">
        <v>10919</v>
      </c>
      <c r="B232" s="133" t="s">
        <v>489</v>
      </c>
      <c r="C232" s="496"/>
      <c r="D232" s="497"/>
      <c r="E232" s="497"/>
      <c r="F232" s="498"/>
      <c r="G232" s="496"/>
      <c r="H232" s="497"/>
      <c r="I232" s="497"/>
      <c r="J232" s="498"/>
      <c r="K232" s="505">
        <f t="shared" si="16"/>
        <v>0</v>
      </c>
      <c r="L232" s="503"/>
      <c r="M232" s="503"/>
      <c r="N232" s="504"/>
      <c r="O232" s="502">
        <f t="shared" si="17"/>
        <v>0</v>
      </c>
      <c r="P232" s="503"/>
      <c r="Q232" s="503"/>
      <c r="R232" s="504"/>
      <c r="S232" s="32"/>
      <c r="T232" s="484"/>
      <c r="U232" s="484"/>
      <c r="V232" s="484"/>
      <c r="W232" s="484"/>
      <c r="X232" s="484"/>
      <c r="Y232" s="484"/>
      <c r="Z232" s="484"/>
      <c r="AA232" s="484"/>
      <c r="AB232" s="484"/>
      <c r="AC232" s="484"/>
      <c r="AD232" s="484"/>
      <c r="AE232" s="484"/>
      <c r="AF232" s="484"/>
      <c r="AG232" s="484"/>
    </row>
    <row r="233" spans="1:35" ht="30.75" customHeight="1">
      <c r="A233" s="141">
        <v>10920</v>
      </c>
      <c r="B233" s="133" t="s">
        <v>490</v>
      </c>
      <c r="C233" s="496"/>
      <c r="D233" s="497"/>
      <c r="E233" s="497"/>
      <c r="F233" s="498"/>
      <c r="G233" s="496"/>
      <c r="H233" s="497"/>
      <c r="I233" s="497"/>
      <c r="J233" s="498"/>
      <c r="K233" s="505">
        <f t="shared" si="16"/>
        <v>0</v>
      </c>
      <c r="L233" s="503"/>
      <c r="M233" s="503"/>
      <c r="N233" s="504"/>
      <c r="O233" s="502">
        <f t="shared" si="17"/>
        <v>0</v>
      </c>
      <c r="P233" s="503"/>
      <c r="Q233" s="503"/>
      <c r="R233" s="504"/>
      <c r="S233" s="32"/>
      <c r="T233" s="484"/>
      <c r="U233" s="484"/>
      <c r="V233" s="484"/>
      <c r="W233" s="484"/>
      <c r="X233" s="484"/>
      <c r="Y233" s="484"/>
      <c r="Z233" s="484"/>
      <c r="AA233" s="484"/>
      <c r="AB233" s="484"/>
      <c r="AC233" s="484"/>
      <c r="AD233" s="484"/>
      <c r="AE233" s="484"/>
      <c r="AF233" s="484"/>
      <c r="AG233" s="484"/>
    </row>
    <row r="234" spans="1:35" ht="30.75" customHeight="1">
      <c r="A234" s="141">
        <v>10921</v>
      </c>
      <c r="B234" s="133" t="s">
        <v>491</v>
      </c>
      <c r="C234" s="496"/>
      <c r="D234" s="497"/>
      <c r="E234" s="497"/>
      <c r="F234" s="498"/>
      <c r="G234" s="496"/>
      <c r="H234" s="497"/>
      <c r="I234" s="497"/>
      <c r="J234" s="498"/>
      <c r="K234" s="505">
        <f t="shared" si="16"/>
        <v>0</v>
      </c>
      <c r="L234" s="503"/>
      <c r="M234" s="503"/>
      <c r="N234" s="504"/>
      <c r="O234" s="502">
        <f t="shared" si="17"/>
        <v>0</v>
      </c>
      <c r="P234" s="503"/>
      <c r="Q234" s="503"/>
      <c r="R234" s="504"/>
      <c r="S234" s="32"/>
      <c r="T234" s="484"/>
      <c r="U234" s="484"/>
      <c r="V234" s="484"/>
      <c r="W234" s="484"/>
      <c r="X234" s="484"/>
      <c r="Y234" s="484"/>
      <c r="Z234" s="484"/>
      <c r="AA234" s="484"/>
      <c r="AB234" s="484"/>
      <c r="AC234" s="484"/>
      <c r="AD234" s="484"/>
      <c r="AE234" s="484"/>
      <c r="AF234" s="484"/>
      <c r="AG234" s="484"/>
    </row>
    <row r="235" spans="1:35" ht="30.75" customHeight="1">
      <c r="A235" s="141">
        <v>10922</v>
      </c>
      <c r="B235" s="133" t="s">
        <v>492</v>
      </c>
      <c r="C235" s="496"/>
      <c r="D235" s="497"/>
      <c r="E235" s="497"/>
      <c r="F235" s="498"/>
      <c r="G235" s="496"/>
      <c r="H235" s="497"/>
      <c r="I235" s="497"/>
      <c r="J235" s="498"/>
      <c r="K235" s="505">
        <f t="shared" si="16"/>
        <v>0</v>
      </c>
      <c r="L235" s="503"/>
      <c r="M235" s="503"/>
      <c r="N235" s="504"/>
      <c r="O235" s="502">
        <f t="shared" si="17"/>
        <v>0</v>
      </c>
      <c r="P235" s="503"/>
      <c r="Q235" s="503"/>
      <c r="R235" s="504"/>
      <c r="S235" s="32"/>
      <c r="T235" s="484" t="str">
        <f>IF(G235-C235=K228+K229+K230+K231+K232+K233+K234," ","مغایرت دریافتی از خزانه در سنوات قبل ابلاغی اختصاصی با مانده (پیش پرداخت ، هزینه ها ، علی الحساب و... ) ازمحل ابلاغی اختصاصی سال قبل")</f>
        <v xml:space="preserve"> </v>
      </c>
      <c r="U235" s="484"/>
      <c r="V235" s="484"/>
      <c r="W235" s="484"/>
      <c r="X235" s="484"/>
      <c r="Y235" s="484"/>
      <c r="Z235" s="484"/>
      <c r="AA235" s="484"/>
      <c r="AB235" s="484"/>
      <c r="AC235" s="484"/>
      <c r="AD235" s="484"/>
      <c r="AE235" s="484"/>
      <c r="AF235" s="484"/>
      <c r="AG235" s="484"/>
    </row>
    <row r="236" spans="1:35" ht="30.75" customHeight="1">
      <c r="A236" s="141">
        <v>10923</v>
      </c>
      <c r="B236" s="133" t="s">
        <v>493</v>
      </c>
      <c r="C236" s="496"/>
      <c r="D236" s="497"/>
      <c r="E236" s="497"/>
      <c r="F236" s="498"/>
      <c r="G236" s="496"/>
      <c r="H236" s="497"/>
      <c r="I236" s="497"/>
      <c r="J236" s="498"/>
      <c r="K236" s="505">
        <f t="shared" si="16"/>
        <v>0</v>
      </c>
      <c r="L236" s="503"/>
      <c r="M236" s="503"/>
      <c r="N236" s="504"/>
      <c r="O236" s="502">
        <f t="shared" si="17"/>
        <v>0</v>
      </c>
      <c r="P236" s="503"/>
      <c r="Q236" s="503"/>
      <c r="R236" s="504"/>
      <c r="S236" s="32"/>
      <c r="T236" s="484" t="str">
        <f>IF(C236-G236=K228+K230," ","مغایرت مانده تامین اعتبار ابلاغی اختصاصی سنواتی با مانده پرداخت های غیر قطعی ابلاغی اختصاصی سنواتی (پیش پرداخت ،علی الحساب و ")</f>
        <v xml:space="preserve"> </v>
      </c>
      <c r="U236" s="484"/>
      <c r="V236" s="484"/>
      <c r="W236" s="484"/>
      <c r="X236" s="484"/>
      <c r="Y236" s="484"/>
      <c r="Z236" s="484"/>
      <c r="AA236" s="484"/>
      <c r="AB236" s="484"/>
      <c r="AC236" s="484"/>
      <c r="AD236" s="484"/>
      <c r="AE236" s="484"/>
      <c r="AF236" s="484"/>
      <c r="AG236" s="484"/>
    </row>
    <row r="237" spans="1:35" ht="30.75" customHeight="1" thickBot="1">
      <c r="A237" s="142">
        <v>10924</v>
      </c>
      <c r="B237" s="136" t="s">
        <v>494</v>
      </c>
      <c r="C237" s="496"/>
      <c r="D237" s="497"/>
      <c r="E237" s="497"/>
      <c r="F237" s="498"/>
      <c r="G237" s="496"/>
      <c r="H237" s="497"/>
      <c r="I237" s="497"/>
      <c r="J237" s="498"/>
      <c r="K237" s="548">
        <f t="shared" si="16"/>
        <v>0</v>
      </c>
      <c r="L237" s="549"/>
      <c r="M237" s="549"/>
      <c r="N237" s="550"/>
      <c r="O237" s="551">
        <f t="shared" si="17"/>
        <v>0</v>
      </c>
      <c r="P237" s="549"/>
      <c r="Q237" s="549"/>
      <c r="R237" s="550"/>
      <c r="S237" s="32"/>
      <c r="T237" s="483" t="str">
        <f>IF(G237-C237=C236-G236," ","  مغایرت مانده ذخیره تامین اعتبارابلاغی اختصاصی سنواتی با مانده تامین اعتبار ابلاغی اختصاصی سنواتی")</f>
        <v xml:space="preserve"> </v>
      </c>
      <c r="U237" s="483"/>
      <c r="V237" s="483"/>
      <c r="W237" s="483"/>
      <c r="X237" s="483"/>
      <c r="Y237" s="483"/>
      <c r="Z237" s="483"/>
      <c r="AA237" s="483"/>
      <c r="AB237" s="483"/>
      <c r="AC237" s="483"/>
      <c r="AD237" s="483"/>
      <c r="AE237" s="483"/>
      <c r="AF237" s="483"/>
      <c r="AG237" s="483"/>
    </row>
    <row r="238" spans="1:35" ht="30.75" customHeight="1" thickBot="1">
      <c r="A238" s="531" t="s">
        <v>127</v>
      </c>
      <c r="B238" s="532"/>
      <c r="C238" s="516">
        <f>SUM(C214:F237)</f>
        <v>0</v>
      </c>
      <c r="D238" s="517"/>
      <c r="E238" s="517"/>
      <c r="F238" s="518"/>
      <c r="G238" s="516">
        <f>SUM(G214:J237)</f>
        <v>0</v>
      </c>
      <c r="H238" s="517"/>
      <c r="I238" s="517"/>
      <c r="J238" s="519"/>
      <c r="K238" s="522">
        <f>SUM(K214:N237)</f>
        <v>0</v>
      </c>
      <c r="L238" s="522"/>
      <c r="M238" s="522"/>
      <c r="N238" s="523"/>
      <c r="O238" s="521">
        <f>SUM(O214:R237)</f>
        <v>0</v>
      </c>
      <c r="P238" s="522"/>
      <c r="Q238" s="522"/>
      <c r="R238" s="523"/>
      <c r="S238" s="32"/>
      <c r="T238" s="481" t="str">
        <f>IF(K238=O238," "," مغایرت جمع مانده بدهکار با جمع مانده بستانکار")</f>
        <v xml:space="preserve"> </v>
      </c>
      <c r="U238" s="481"/>
      <c r="V238" s="481"/>
      <c r="W238" s="481"/>
      <c r="X238" s="481"/>
      <c r="Y238" s="481"/>
      <c r="Z238" s="481"/>
      <c r="AA238" s="481"/>
      <c r="AB238" s="160"/>
      <c r="AC238" s="160"/>
      <c r="AD238" s="161"/>
      <c r="AE238" s="161"/>
      <c r="AF238" s="161"/>
    </row>
    <row r="239" spans="1:35" s="2" customFormat="1" ht="28.5" thickBot="1">
      <c r="A239" s="140">
        <v>110</v>
      </c>
      <c r="B239" s="29"/>
      <c r="C239" s="499" t="s">
        <v>527</v>
      </c>
      <c r="D239" s="500"/>
      <c r="E239" s="500"/>
      <c r="F239" s="500"/>
      <c r="G239" s="500"/>
      <c r="H239" s="500"/>
      <c r="I239" s="500"/>
      <c r="J239" s="500"/>
      <c r="K239" s="500"/>
      <c r="L239" s="500"/>
      <c r="M239" s="500"/>
      <c r="N239" s="500"/>
      <c r="O239" s="500"/>
      <c r="P239" s="500"/>
      <c r="Q239" s="500"/>
      <c r="R239" s="501"/>
      <c r="S239" s="33"/>
      <c r="T239" s="483"/>
      <c r="U239" s="483"/>
      <c r="V239" s="483"/>
      <c r="W239" s="483"/>
      <c r="X239" s="483"/>
      <c r="Y239" s="483"/>
      <c r="Z239" s="483"/>
      <c r="AA239" s="483"/>
      <c r="AB239" s="96"/>
      <c r="AC239" s="96"/>
    </row>
    <row r="240" spans="1:35" ht="30.75" customHeight="1">
      <c r="A240" s="141">
        <v>11001</v>
      </c>
      <c r="B240" s="133" t="s">
        <v>256</v>
      </c>
      <c r="C240" s="496"/>
      <c r="D240" s="497"/>
      <c r="E240" s="497"/>
      <c r="F240" s="498"/>
      <c r="G240" s="496"/>
      <c r="H240" s="497"/>
      <c r="I240" s="497"/>
      <c r="J240" s="498"/>
      <c r="K240" s="505">
        <f>IF(C240&gt;G240,C240-G240,0)</f>
        <v>0</v>
      </c>
      <c r="L240" s="503"/>
      <c r="M240" s="503"/>
      <c r="N240" s="504"/>
      <c r="O240" s="502">
        <f>IF(G240&gt;C240,G240-C240,0)</f>
        <v>0</v>
      </c>
      <c r="P240" s="503"/>
      <c r="Q240" s="503"/>
      <c r="R240" s="504"/>
      <c r="S240" s="32"/>
      <c r="T240" s="482" t="str">
        <f>IF(G240-C240=K241+K242+K243+K244+K245+K246+K247+K248," ","مغایرت مانده وجوه مصرف نشده سنوات قبل اختصاصی با مانده (بانک پرداخت ،هزینه،پیش پرداخت،علی الحساب و...) ازمحل وجوه سنوات قبل اختصاصی")</f>
        <v xml:space="preserve"> </v>
      </c>
      <c r="U240" s="482"/>
      <c r="V240" s="482"/>
      <c r="W240" s="482"/>
      <c r="X240" s="482"/>
      <c r="Y240" s="482"/>
      <c r="Z240" s="482"/>
      <c r="AA240" s="482"/>
      <c r="AB240" s="482"/>
      <c r="AC240" s="482"/>
      <c r="AD240" s="482"/>
      <c r="AE240" s="482"/>
      <c r="AF240" s="482"/>
      <c r="AG240" s="482"/>
      <c r="AH240" s="482"/>
      <c r="AI240" s="482"/>
    </row>
    <row r="241" spans="1:35" ht="30.75" customHeight="1">
      <c r="A241" s="141">
        <v>11002</v>
      </c>
      <c r="B241" s="133" t="s">
        <v>257</v>
      </c>
      <c r="C241" s="496"/>
      <c r="D241" s="497"/>
      <c r="E241" s="497"/>
      <c r="F241" s="498"/>
      <c r="G241" s="496"/>
      <c r="H241" s="497"/>
      <c r="I241" s="497"/>
      <c r="J241" s="498"/>
      <c r="K241" s="505">
        <f>IF(C241&gt;G241,C241-G241,0)</f>
        <v>0</v>
      </c>
      <c r="L241" s="503"/>
      <c r="M241" s="503"/>
      <c r="N241" s="504"/>
      <c r="O241" s="502">
        <f>IF(G241&gt;C241,G241-C241,0)</f>
        <v>0</v>
      </c>
      <c r="P241" s="503"/>
      <c r="Q241" s="503"/>
      <c r="R241" s="504"/>
      <c r="S241" s="32"/>
      <c r="T241" s="482"/>
      <c r="U241" s="482"/>
      <c r="V241" s="482"/>
      <c r="W241" s="482"/>
      <c r="X241" s="482"/>
      <c r="Y241" s="482"/>
      <c r="Z241" s="482"/>
      <c r="AA241" s="482"/>
      <c r="AB241" s="482"/>
      <c r="AC241" s="482"/>
      <c r="AD241" s="482"/>
      <c r="AE241" s="482"/>
      <c r="AF241" s="482"/>
      <c r="AG241" s="482"/>
    </row>
    <row r="242" spans="1:35" ht="30.75" customHeight="1">
      <c r="A242" s="141">
        <v>11003</v>
      </c>
      <c r="B242" s="133" t="s">
        <v>258</v>
      </c>
      <c r="C242" s="496"/>
      <c r="D242" s="497"/>
      <c r="E242" s="497"/>
      <c r="F242" s="498"/>
      <c r="G242" s="496"/>
      <c r="H242" s="497"/>
      <c r="I242" s="497"/>
      <c r="J242" s="498"/>
      <c r="K242" s="505">
        <f t="shared" ref="K242:K250" si="18">IF(C242&gt;G242,C242-G242,0)</f>
        <v>0</v>
      </c>
      <c r="L242" s="503"/>
      <c r="M242" s="503"/>
      <c r="N242" s="504"/>
      <c r="O242" s="502">
        <f t="shared" ref="O242:O250" si="19">IF(G242&gt;C242,G242-C242,0)</f>
        <v>0</v>
      </c>
      <c r="P242" s="503"/>
      <c r="Q242" s="503"/>
      <c r="R242" s="504"/>
      <c r="S242" s="32"/>
      <c r="T242" s="482"/>
      <c r="U242" s="482"/>
      <c r="V242" s="482"/>
      <c r="W242" s="482"/>
      <c r="X242" s="482"/>
      <c r="Y242" s="482"/>
      <c r="Z242" s="482"/>
      <c r="AA242" s="482"/>
      <c r="AB242" s="482"/>
      <c r="AC242" s="482"/>
      <c r="AD242" s="482"/>
      <c r="AE242" s="482"/>
      <c r="AF242" s="482"/>
      <c r="AG242" s="482"/>
    </row>
    <row r="243" spans="1:35" ht="30.75" customHeight="1">
      <c r="A243" s="141">
        <v>11004</v>
      </c>
      <c r="B243" s="133" t="s">
        <v>259</v>
      </c>
      <c r="C243" s="496"/>
      <c r="D243" s="497"/>
      <c r="E243" s="497"/>
      <c r="F243" s="498"/>
      <c r="G243" s="496"/>
      <c r="H243" s="497"/>
      <c r="I243" s="497"/>
      <c r="J243" s="498"/>
      <c r="K243" s="505">
        <f t="shared" si="18"/>
        <v>0</v>
      </c>
      <c r="L243" s="503"/>
      <c r="M243" s="503"/>
      <c r="N243" s="504"/>
      <c r="O243" s="502">
        <f t="shared" si="19"/>
        <v>0</v>
      </c>
      <c r="P243" s="503"/>
      <c r="Q243" s="503"/>
      <c r="R243" s="504"/>
      <c r="S243" s="32"/>
      <c r="T243" s="482"/>
      <c r="U243" s="482"/>
      <c r="V243" s="482"/>
      <c r="W243" s="482"/>
      <c r="X243" s="482"/>
      <c r="Y243" s="482"/>
      <c r="Z243" s="482"/>
      <c r="AA243" s="482"/>
      <c r="AB243" s="482"/>
      <c r="AC243" s="482"/>
      <c r="AD243" s="482"/>
      <c r="AE243" s="482"/>
      <c r="AF243" s="482"/>
      <c r="AG243" s="482"/>
    </row>
    <row r="244" spans="1:35" ht="30.75" customHeight="1">
      <c r="A244" s="141">
        <v>11005</v>
      </c>
      <c r="B244" s="133" t="s">
        <v>260</v>
      </c>
      <c r="C244" s="496"/>
      <c r="D244" s="497"/>
      <c r="E244" s="497"/>
      <c r="F244" s="498"/>
      <c r="G244" s="496"/>
      <c r="H244" s="497"/>
      <c r="I244" s="497"/>
      <c r="J244" s="498"/>
      <c r="K244" s="505">
        <f t="shared" si="18"/>
        <v>0</v>
      </c>
      <c r="L244" s="503"/>
      <c r="M244" s="503"/>
      <c r="N244" s="504"/>
      <c r="O244" s="502">
        <f t="shared" si="19"/>
        <v>0</v>
      </c>
      <c r="P244" s="503"/>
      <c r="Q244" s="503"/>
      <c r="R244" s="504"/>
      <c r="S244" s="32"/>
      <c r="T244" s="482"/>
      <c r="U244" s="482"/>
      <c r="V244" s="482"/>
      <c r="W244" s="482"/>
      <c r="X244" s="482"/>
      <c r="Y244" s="482"/>
      <c r="Z244" s="482"/>
      <c r="AA244" s="482"/>
      <c r="AB244" s="482"/>
      <c r="AC244" s="482"/>
      <c r="AD244" s="482"/>
      <c r="AE244" s="482"/>
      <c r="AF244" s="482"/>
      <c r="AG244" s="482"/>
    </row>
    <row r="245" spans="1:35" ht="30.75" customHeight="1">
      <c r="A245" s="141">
        <v>11006</v>
      </c>
      <c r="B245" s="133" t="s">
        <v>261</v>
      </c>
      <c r="C245" s="496"/>
      <c r="D245" s="497"/>
      <c r="E245" s="497"/>
      <c r="F245" s="498"/>
      <c r="G245" s="496"/>
      <c r="H245" s="497"/>
      <c r="I245" s="497"/>
      <c r="J245" s="498"/>
      <c r="K245" s="505">
        <f t="shared" si="18"/>
        <v>0</v>
      </c>
      <c r="L245" s="503"/>
      <c r="M245" s="503"/>
      <c r="N245" s="504"/>
      <c r="O245" s="502">
        <f t="shared" si="19"/>
        <v>0</v>
      </c>
      <c r="P245" s="503"/>
      <c r="Q245" s="503"/>
      <c r="R245" s="504"/>
      <c r="S245" s="32"/>
      <c r="T245" s="482"/>
      <c r="U245" s="482"/>
      <c r="V245" s="482"/>
      <c r="W245" s="482"/>
      <c r="X245" s="482"/>
      <c r="Y245" s="482"/>
      <c r="Z245" s="482"/>
      <c r="AA245" s="482"/>
      <c r="AB245" s="482"/>
      <c r="AC245" s="482"/>
      <c r="AD245" s="482"/>
      <c r="AE245" s="482"/>
      <c r="AF245" s="482"/>
      <c r="AG245" s="482"/>
    </row>
    <row r="246" spans="1:35" ht="30.75" customHeight="1">
      <c r="A246" s="141">
        <v>11007</v>
      </c>
      <c r="B246" s="133" t="s">
        <v>262</v>
      </c>
      <c r="C246" s="496"/>
      <c r="D246" s="497"/>
      <c r="E246" s="497"/>
      <c r="F246" s="498"/>
      <c r="G246" s="496"/>
      <c r="H246" s="497"/>
      <c r="I246" s="497"/>
      <c r="J246" s="498"/>
      <c r="K246" s="505">
        <f t="shared" si="18"/>
        <v>0</v>
      </c>
      <c r="L246" s="503"/>
      <c r="M246" s="503"/>
      <c r="N246" s="504"/>
      <c r="O246" s="502">
        <f t="shared" si="19"/>
        <v>0</v>
      </c>
      <c r="P246" s="503"/>
      <c r="Q246" s="503"/>
      <c r="R246" s="504"/>
      <c r="S246" s="32"/>
      <c r="T246" s="482"/>
      <c r="U246" s="482"/>
      <c r="V246" s="482"/>
      <c r="W246" s="482"/>
      <c r="X246" s="482"/>
      <c r="Y246" s="482"/>
      <c r="Z246" s="482"/>
      <c r="AA246" s="482"/>
      <c r="AB246" s="482"/>
      <c r="AC246" s="482"/>
      <c r="AD246" s="482"/>
      <c r="AE246" s="482"/>
      <c r="AF246" s="482"/>
      <c r="AG246" s="482"/>
    </row>
    <row r="247" spans="1:35" ht="30.75" customHeight="1">
      <c r="A247" s="141">
        <v>11008</v>
      </c>
      <c r="B247" s="133" t="s">
        <v>263</v>
      </c>
      <c r="C247" s="496"/>
      <c r="D247" s="497"/>
      <c r="E247" s="497"/>
      <c r="F247" s="498"/>
      <c r="G247" s="496"/>
      <c r="H247" s="497"/>
      <c r="I247" s="497"/>
      <c r="J247" s="498"/>
      <c r="K247" s="505">
        <f t="shared" si="18"/>
        <v>0</v>
      </c>
      <c r="L247" s="503"/>
      <c r="M247" s="503"/>
      <c r="N247" s="504"/>
      <c r="O247" s="502">
        <f t="shared" si="19"/>
        <v>0</v>
      </c>
      <c r="P247" s="503"/>
      <c r="Q247" s="503"/>
      <c r="R247" s="504"/>
      <c r="S247" s="32"/>
      <c r="T247" s="482"/>
      <c r="U247" s="482"/>
      <c r="V247" s="482"/>
      <c r="W247" s="482"/>
      <c r="X247" s="482"/>
      <c r="Y247" s="482"/>
      <c r="Z247" s="482"/>
      <c r="AA247" s="482"/>
      <c r="AB247" s="482"/>
      <c r="AC247" s="482"/>
      <c r="AD247" s="482"/>
      <c r="AE247" s="482"/>
      <c r="AF247" s="482"/>
      <c r="AG247" s="482"/>
    </row>
    <row r="248" spans="1:35" ht="30.75" customHeight="1">
      <c r="A248" s="141">
        <v>11009</v>
      </c>
      <c r="B248" s="133" t="s">
        <v>495</v>
      </c>
      <c r="C248" s="496"/>
      <c r="D248" s="497"/>
      <c r="E248" s="497"/>
      <c r="F248" s="498"/>
      <c r="G248" s="496"/>
      <c r="H248" s="497"/>
      <c r="I248" s="497"/>
      <c r="J248" s="498"/>
      <c r="K248" s="505">
        <f t="shared" si="18"/>
        <v>0</v>
      </c>
      <c r="L248" s="503"/>
      <c r="M248" s="503"/>
      <c r="N248" s="504"/>
      <c r="O248" s="502">
        <f t="shared" si="19"/>
        <v>0</v>
      </c>
      <c r="P248" s="503"/>
      <c r="Q248" s="503"/>
      <c r="R248" s="504"/>
      <c r="S248" s="32"/>
      <c r="T248" s="482"/>
      <c r="U248" s="482"/>
      <c r="V248" s="482"/>
      <c r="W248" s="482"/>
      <c r="X248" s="482"/>
      <c r="Y248" s="482"/>
      <c r="Z248" s="482"/>
      <c r="AA248" s="482"/>
      <c r="AB248" s="482"/>
      <c r="AC248" s="482"/>
      <c r="AD248" s="482"/>
      <c r="AE248" s="482"/>
      <c r="AF248" s="482"/>
      <c r="AG248" s="482"/>
    </row>
    <row r="249" spans="1:35" ht="30.75" customHeight="1">
      <c r="A249" s="141">
        <v>11010</v>
      </c>
      <c r="B249" s="133" t="s">
        <v>264</v>
      </c>
      <c r="C249" s="496"/>
      <c r="D249" s="497"/>
      <c r="E249" s="497"/>
      <c r="F249" s="498"/>
      <c r="G249" s="496"/>
      <c r="H249" s="497"/>
      <c r="I249" s="497"/>
      <c r="J249" s="498"/>
      <c r="K249" s="505">
        <f t="shared" si="18"/>
        <v>0</v>
      </c>
      <c r="L249" s="503"/>
      <c r="M249" s="503"/>
      <c r="N249" s="504"/>
      <c r="O249" s="502">
        <f t="shared" si="19"/>
        <v>0</v>
      </c>
      <c r="P249" s="503"/>
      <c r="Q249" s="503"/>
      <c r="R249" s="504"/>
      <c r="S249" s="32"/>
      <c r="T249" s="482" t="str">
        <f>IF(C249-G249=K243+K244," ","مغایرت مانده تامین اعتبار از محل وجوه مصرف نشده سنوات قبل اختصاصی با مانده پرداخت های غیر قطعی از محل وجوه مصرف نشده سنوات قبل اختصاصی(پیش پرداخت ،علی الحساب و ...)")</f>
        <v xml:space="preserve"> </v>
      </c>
      <c r="U249" s="482"/>
      <c r="V249" s="482"/>
      <c r="W249" s="482"/>
      <c r="X249" s="482"/>
      <c r="Y249" s="482"/>
      <c r="Z249" s="482"/>
      <c r="AA249" s="482"/>
      <c r="AB249" s="482"/>
      <c r="AC249" s="482"/>
      <c r="AD249" s="482"/>
      <c r="AE249" s="482"/>
      <c r="AF249" s="482"/>
      <c r="AG249" s="482"/>
      <c r="AH249" s="482"/>
      <c r="AI249" s="482"/>
    </row>
    <row r="250" spans="1:35" ht="30.75" customHeight="1" thickBot="1">
      <c r="A250" s="142">
        <v>11011</v>
      </c>
      <c r="B250" s="134" t="s">
        <v>265</v>
      </c>
      <c r="C250" s="553"/>
      <c r="D250" s="554"/>
      <c r="E250" s="554"/>
      <c r="F250" s="555"/>
      <c r="G250" s="496"/>
      <c r="H250" s="497"/>
      <c r="I250" s="497"/>
      <c r="J250" s="498"/>
      <c r="K250" s="548">
        <f t="shared" si="18"/>
        <v>0</v>
      </c>
      <c r="L250" s="549"/>
      <c r="M250" s="549"/>
      <c r="N250" s="550"/>
      <c r="O250" s="551">
        <f t="shared" si="19"/>
        <v>0</v>
      </c>
      <c r="P250" s="549"/>
      <c r="Q250" s="549"/>
      <c r="R250" s="550"/>
      <c r="S250" s="32"/>
      <c r="T250" s="482" t="str">
        <f>IF(G250-C250=C249-G249," ","مغایرت مانده ذخیره تامین اعتبار وجوه مصرف نشده سنوات قبل اختصاصی با مانده تامین اعتبار وجوه مصرف نشده سنوات قبل اختصاصی")</f>
        <v xml:space="preserve"> </v>
      </c>
      <c r="U250" s="482"/>
      <c r="V250" s="482"/>
      <c r="W250" s="482"/>
      <c r="X250" s="482"/>
      <c r="Y250" s="482"/>
      <c r="Z250" s="482"/>
      <c r="AA250" s="482"/>
      <c r="AB250" s="482"/>
      <c r="AC250" s="482"/>
      <c r="AD250" s="482"/>
      <c r="AE250" s="482"/>
      <c r="AF250" s="482"/>
      <c r="AG250" s="482"/>
    </row>
    <row r="251" spans="1:35" ht="30.75" customHeight="1" thickBot="1">
      <c r="A251" s="529" t="s">
        <v>127</v>
      </c>
      <c r="B251" s="530"/>
      <c r="C251" s="516">
        <f>SUM(C240:F250)</f>
        <v>0</v>
      </c>
      <c r="D251" s="517"/>
      <c r="E251" s="517"/>
      <c r="F251" s="518"/>
      <c r="G251" s="516">
        <f>SUM(G240:J250)</f>
        <v>0</v>
      </c>
      <c r="H251" s="517"/>
      <c r="I251" s="517"/>
      <c r="J251" s="519"/>
      <c r="K251" s="520">
        <f>SUM(K240:N250)</f>
        <v>0</v>
      </c>
      <c r="L251" s="517"/>
      <c r="M251" s="517"/>
      <c r="N251" s="518"/>
      <c r="O251" s="521">
        <f>SUM(O240:R250)</f>
        <v>0</v>
      </c>
      <c r="P251" s="522"/>
      <c r="Q251" s="522"/>
      <c r="R251" s="523"/>
      <c r="S251" s="32"/>
      <c r="T251" s="481" t="str">
        <f>IF(K251=O251," "," مغایرت جمع مانده بدهکار با جمع مانده بستانکار")</f>
        <v xml:space="preserve"> </v>
      </c>
      <c r="U251" s="481"/>
      <c r="V251" s="481"/>
      <c r="W251" s="481"/>
      <c r="X251" s="481"/>
      <c r="Y251" s="481"/>
      <c r="Z251" s="481"/>
      <c r="AA251" s="481"/>
      <c r="AB251" s="481"/>
      <c r="AC251" s="481"/>
      <c r="AD251" s="481"/>
      <c r="AE251" s="481"/>
      <c r="AF251" s="481"/>
      <c r="AG251" s="481"/>
    </row>
    <row r="252" spans="1:35" s="2" customFormat="1" ht="28.5" thickBot="1">
      <c r="A252" s="140">
        <v>111</v>
      </c>
      <c r="B252" s="30"/>
      <c r="C252" s="499" t="s">
        <v>528</v>
      </c>
      <c r="D252" s="500"/>
      <c r="E252" s="500"/>
      <c r="F252" s="500"/>
      <c r="G252" s="500"/>
      <c r="H252" s="500"/>
      <c r="I252" s="500"/>
      <c r="J252" s="500"/>
      <c r="K252" s="500"/>
      <c r="L252" s="500"/>
      <c r="M252" s="500"/>
      <c r="N252" s="500"/>
      <c r="O252" s="500"/>
      <c r="P252" s="500"/>
      <c r="Q252" s="500"/>
      <c r="R252" s="501"/>
      <c r="S252" s="33"/>
      <c r="T252" s="483"/>
      <c r="U252" s="483"/>
      <c r="V252" s="483"/>
      <c r="W252" s="483"/>
      <c r="X252" s="483"/>
      <c r="Y252" s="483"/>
      <c r="Z252" s="483"/>
      <c r="AA252" s="483"/>
      <c r="AB252" s="96"/>
      <c r="AC252" s="96"/>
    </row>
    <row r="253" spans="1:35" ht="30.75" customHeight="1">
      <c r="A253" s="143">
        <v>11101</v>
      </c>
      <c r="B253" s="133" t="s">
        <v>547</v>
      </c>
      <c r="C253" s="496"/>
      <c r="D253" s="497"/>
      <c r="E253" s="497"/>
      <c r="F253" s="498"/>
      <c r="G253" s="496"/>
      <c r="H253" s="497"/>
      <c r="I253" s="497"/>
      <c r="J253" s="498"/>
      <c r="K253" s="505">
        <f>IF(C253&gt;G253,C253-G253,0)</f>
        <v>0</v>
      </c>
      <c r="L253" s="503"/>
      <c r="M253" s="503"/>
      <c r="N253" s="504"/>
      <c r="O253" s="502">
        <f>IF(G253&gt;C253,G253-C253,0)</f>
        <v>0</v>
      </c>
      <c r="P253" s="503"/>
      <c r="Q253" s="503"/>
      <c r="R253" s="504"/>
      <c r="S253" s="32"/>
      <c r="T253" s="483" t="str">
        <f>IF(C253-G253=G254-C254+G255-C255," ","  مغایرت مانده درآمده واحد دستگاه اختصاصی با مانده درآمد پیش بینی شده و درآمد تحقق یافته اختصاصی")</f>
        <v xml:space="preserve"> </v>
      </c>
      <c r="U253" s="483"/>
      <c r="V253" s="483"/>
      <c r="W253" s="483"/>
      <c r="X253" s="483"/>
      <c r="Y253" s="483"/>
      <c r="Z253" s="483"/>
      <c r="AA253" s="483"/>
      <c r="AB253" s="160"/>
      <c r="AC253" s="160"/>
      <c r="AD253" s="161"/>
      <c r="AE253" s="161"/>
      <c r="AF253" s="161"/>
    </row>
    <row r="254" spans="1:35" ht="30.75" customHeight="1">
      <c r="A254" s="141">
        <v>11102</v>
      </c>
      <c r="B254" s="133" t="s">
        <v>266</v>
      </c>
      <c r="C254" s="496"/>
      <c r="D254" s="497"/>
      <c r="E254" s="497"/>
      <c r="F254" s="498"/>
      <c r="G254" s="496"/>
      <c r="H254" s="497"/>
      <c r="I254" s="497"/>
      <c r="J254" s="498"/>
      <c r="K254" s="505">
        <f>IF(C254&gt;G254,C254-G254,0)</f>
        <v>0</v>
      </c>
      <c r="L254" s="503"/>
      <c r="M254" s="503"/>
      <c r="N254" s="504"/>
      <c r="O254" s="502">
        <f>IF(G254&gt;C254,G254-C254,0)</f>
        <v>0</v>
      </c>
      <c r="P254" s="503"/>
      <c r="Q254" s="503"/>
      <c r="R254" s="504"/>
      <c r="S254" s="32"/>
      <c r="T254" s="483"/>
      <c r="U254" s="483"/>
      <c r="V254" s="483"/>
      <c r="W254" s="483"/>
      <c r="X254" s="483"/>
      <c r="Y254" s="483"/>
      <c r="Z254" s="483"/>
      <c r="AA254" s="483"/>
      <c r="AB254" s="160"/>
      <c r="AC254" s="160"/>
      <c r="AD254" s="161"/>
      <c r="AE254" s="161"/>
      <c r="AF254" s="161"/>
    </row>
    <row r="255" spans="1:35" ht="30.75" customHeight="1">
      <c r="A255" s="141">
        <v>11103</v>
      </c>
      <c r="B255" s="133" t="s">
        <v>267</v>
      </c>
      <c r="C255" s="496"/>
      <c r="D255" s="497"/>
      <c r="E255" s="497"/>
      <c r="F255" s="498"/>
      <c r="G255" s="496"/>
      <c r="H255" s="497"/>
      <c r="I255" s="497"/>
      <c r="J255" s="498"/>
      <c r="K255" s="505">
        <f t="shared" ref="K255:K269" si="20">IF(C255&gt;G255,C255-G255,0)</f>
        <v>0</v>
      </c>
      <c r="L255" s="503"/>
      <c r="M255" s="503"/>
      <c r="N255" s="504"/>
      <c r="O255" s="502">
        <f t="shared" ref="O255:O269" si="21">IF(G255&gt;C255,G255-C255,0)</f>
        <v>0</v>
      </c>
      <c r="P255" s="503"/>
      <c r="Q255" s="503"/>
      <c r="R255" s="504"/>
      <c r="S255" s="32"/>
      <c r="T255" s="483"/>
      <c r="U255" s="483"/>
      <c r="V255" s="483"/>
      <c r="W255" s="483"/>
      <c r="X255" s="483"/>
      <c r="Y255" s="483"/>
      <c r="Z255" s="483"/>
      <c r="AA255" s="483"/>
      <c r="AB255" s="160"/>
      <c r="AC255" s="160"/>
      <c r="AD255" s="161"/>
      <c r="AE255" s="161"/>
      <c r="AF255" s="161"/>
    </row>
    <row r="256" spans="1:35" ht="30.75" customHeight="1">
      <c r="A256" s="141">
        <v>11104</v>
      </c>
      <c r="B256" s="133" t="s">
        <v>268</v>
      </c>
      <c r="C256" s="496"/>
      <c r="D256" s="497"/>
      <c r="E256" s="497"/>
      <c r="F256" s="498"/>
      <c r="G256" s="496"/>
      <c r="H256" s="497"/>
      <c r="I256" s="497"/>
      <c r="J256" s="498"/>
      <c r="K256" s="505">
        <f t="shared" si="20"/>
        <v>0</v>
      </c>
      <c r="L256" s="503"/>
      <c r="M256" s="503"/>
      <c r="N256" s="504"/>
      <c r="O256" s="502">
        <f t="shared" si="21"/>
        <v>0</v>
      </c>
      <c r="P256" s="503"/>
      <c r="Q256" s="503"/>
      <c r="R256" s="504"/>
      <c r="S256" s="32"/>
      <c r="T256" s="483"/>
      <c r="U256" s="483"/>
      <c r="V256" s="483"/>
      <c r="W256" s="483"/>
      <c r="X256" s="483"/>
      <c r="Y256" s="483"/>
      <c r="Z256" s="483"/>
      <c r="AA256" s="483"/>
      <c r="AB256" s="160"/>
      <c r="AC256" s="160"/>
      <c r="AD256" s="161"/>
      <c r="AE256" s="161"/>
      <c r="AF256" s="161"/>
    </row>
    <row r="257" spans="1:32" ht="30.75" customHeight="1">
      <c r="A257" s="141">
        <v>11105</v>
      </c>
      <c r="B257" s="133" t="s">
        <v>269</v>
      </c>
      <c r="C257" s="496"/>
      <c r="D257" s="497"/>
      <c r="E257" s="497"/>
      <c r="F257" s="498"/>
      <c r="G257" s="496"/>
      <c r="H257" s="497"/>
      <c r="I257" s="497"/>
      <c r="J257" s="498"/>
      <c r="K257" s="505">
        <f t="shared" si="20"/>
        <v>0</v>
      </c>
      <c r="L257" s="503"/>
      <c r="M257" s="503"/>
      <c r="N257" s="504"/>
      <c r="O257" s="502">
        <f t="shared" si="21"/>
        <v>0</v>
      </c>
      <c r="P257" s="503"/>
      <c r="Q257" s="503"/>
      <c r="R257" s="504"/>
      <c r="S257" s="32"/>
      <c r="T257" s="483"/>
      <c r="U257" s="483"/>
      <c r="V257" s="483"/>
      <c r="W257" s="483"/>
      <c r="X257" s="483"/>
      <c r="Y257" s="483"/>
      <c r="Z257" s="483"/>
      <c r="AA257" s="483"/>
      <c r="AB257" s="160"/>
      <c r="AC257" s="160"/>
      <c r="AD257" s="161"/>
      <c r="AE257" s="161"/>
      <c r="AF257" s="161"/>
    </row>
    <row r="258" spans="1:32" ht="30.75" customHeight="1">
      <c r="A258" s="141">
        <v>11106</v>
      </c>
      <c r="B258" s="133" t="s">
        <v>270</v>
      </c>
      <c r="C258" s="496"/>
      <c r="D258" s="497"/>
      <c r="E258" s="497"/>
      <c r="F258" s="498"/>
      <c r="G258" s="496"/>
      <c r="H258" s="497"/>
      <c r="I258" s="497"/>
      <c r="J258" s="498"/>
      <c r="K258" s="505">
        <f t="shared" si="20"/>
        <v>0</v>
      </c>
      <c r="L258" s="503"/>
      <c r="M258" s="503"/>
      <c r="N258" s="504"/>
      <c r="O258" s="502">
        <f t="shared" si="21"/>
        <v>0</v>
      </c>
      <c r="P258" s="503"/>
      <c r="Q258" s="503"/>
      <c r="R258" s="504"/>
      <c r="S258" s="32"/>
      <c r="T258" s="483" t="str">
        <f>IF(G258-C258=K257+K260," "," مغایرت درآمد اختصاصی وصولی با مانده بانک تمرکز وجوه درآمد اختصاصی ودرآمد اختصاصی ارسالی")</f>
        <v xml:space="preserve"> </v>
      </c>
      <c r="U258" s="483"/>
      <c r="V258" s="483"/>
      <c r="W258" s="483"/>
      <c r="X258" s="483"/>
      <c r="Y258" s="483"/>
      <c r="Z258" s="483"/>
      <c r="AA258" s="483"/>
      <c r="AB258" s="160"/>
      <c r="AC258" s="160"/>
      <c r="AD258" s="161"/>
      <c r="AE258" s="161"/>
      <c r="AF258" s="161"/>
    </row>
    <row r="259" spans="1:32" ht="30.75" customHeight="1">
      <c r="A259" s="141">
        <v>11107</v>
      </c>
      <c r="B259" s="133" t="s">
        <v>271</v>
      </c>
      <c r="C259" s="496"/>
      <c r="D259" s="497"/>
      <c r="E259" s="497"/>
      <c r="F259" s="498"/>
      <c r="G259" s="496"/>
      <c r="H259" s="497"/>
      <c r="I259" s="497"/>
      <c r="J259" s="498"/>
      <c r="K259" s="505">
        <f t="shared" si="20"/>
        <v>0</v>
      </c>
      <c r="L259" s="503"/>
      <c r="M259" s="503"/>
      <c r="N259" s="504"/>
      <c r="O259" s="502">
        <f t="shared" si="21"/>
        <v>0</v>
      </c>
      <c r="P259" s="503"/>
      <c r="Q259" s="503"/>
      <c r="R259" s="504"/>
      <c r="S259" s="32"/>
      <c r="T259" s="483"/>
      <c r="U259" s="483"/>
      <c r="V259" s="483"/>
      <c r="W259" s="483"/>
      <c r="X259" s="483"/>
      <c r="Y259" s="483"/>
      <c r="Z259" s="483"/>
      <c r="AA259" s="483"/>
      <c r="AB259" s="160"/>
      <c r="AC259" s="160"/>
      <c r="AD259" s="161"/>
      <c r="AE259" s="161"/>
      <c r="AF259" s="161"/>
    </row>
    <row r="260" spans="1:32" ht="30.75" customHeight="1">
      <c r="A260" s="141">
        <v>11108</v>
      </c>
      <c r="B260" s="133" t="s">
        <v>272</v>
      </c>
      <c r="C260" s="496"/>
      <c r="D260" s="497"/>
      <c r="E260" s="497"/>
      <c r="F260" s="498"/>
      <c r="G260" s="496"/>
      <c r="H260" s="497"/>
      <c r="I260" s="497"/>
      <c r="J260" s="498"/>
      <c r="K260" s="505">
        <f t="shared" si="20"/>
        <v>0</v>
      </c>
      <c r="L260" s="503"/>
      <c r="M260" s="503"/>
      <c r="N260" s="504"/>
      <c r="O260" s="502">
        <f t="shared" si="21"/>
        <v>0</v>
      </c>
      <c r="P260" s="503"/>
      <c r="Q260" s="503"/>
      <c r="R260" s="504"/>
      <c r="S260" s="32"/>
      <c r="T260" s="572" t="str">
        <f>IF(C260-G260=C259," ","مغایرت مانده درآمد اختصاصی ارسالی با خزانه تمرکز وجوه درآمد اختصاصی")</f>
        <v xml:space="preserve"> </v>
      </c>
      <c r="U260" s="572"/>
      <c r="V260" s="572"/>
      <c r="W260" s="572"/>
      <c r="X260" s="572"/>
      <c r="Y260" s="572"/>
      <c r="Z260" s="572"/>
      <c r="AA260" s="572"/>
      <c r="AB260" s="160"/>
      <c r="AC260" s="160"/>
      <c r="AD260" s="161"/>
      <c r="AE260" s="161"/>
      <c r="AF260" s="161"/>
    </row>
    <row r="261" spans="1:32" ht="30.75" customHeight="1">
      <c r="A261" s="141">
        <v>11109</v>
      </c>
      <c r="B261" s="133" t="s">
        <v>273</v>
      </c>
      <c r="C261" s="496"/>
      <c r="D261" s="497"/>
      <c r="E261" s="497"/>
      <c r="F261" s="498"/>
      <c r="G261" s="496"/>
      <c r="H261" s="497"/>
      <c r="I261" s="497"/>
      <c r="J261" s="498"/>
      <c r="K261" s="505">
        <f t="shared" si="20"/>
        <v>0</v>
      </c>
      <c r="L261" s="503"/>
      <c r="M261" s="503"/>
      <c r="N261" s="504"/>
      <c r="O261" s="502">
        <f t="shared" si="21"/>
        <v>0</v>
      </c>
      <c r="P261" s="503"/>
      <c r="Q261" s="503"/>
      <c r="R261" s="504"/>
      <c r="S261" s="32"/>
      <c r="T261" s="483"/>
      <c r="U261" s="483"/>
      <c r="V261" s="483"/>
      <c r="W261" s="483"/>
      <c r="X261" s="483"/>
      <c r="Y261" s="483"/>
      <c r="Z261" s="483"/>
      <c r="AA261" s="483"/>
      <c r="AB261" s="160"/>
      <c r="AC261" s="160"/>
      <c r="AD261" s="161"/>
      <c r="AE261" s="161"/>
      <c r="AF261" s="161"/>
    </row>
    <row r="262" spans="1:32" ht="30.75" customHeight="1">
      <c r="A262" s="141">
        <v>11110</v>
      </c>
      <c r="B262" s="133" t="s">
        <v>274</v>
      </c>
      <c r="C262" s="496"/>
      <c r="D262" s="497"/>
      <c r="E262" s="497"/>
      <c r="F262" s="498"/>
      <c r="G262" s="496"/>
      <c r="H262" s="497"/>
      <c r="I262" s="497"/>
      <c r="J262" s="498"/>
      <c r="K262" s="505">
        <f t="shared" si="20"/>
        <v>0</v>
      </c>
      <c r="L262" s="503"/>
      <c r="M262" s="503"/>
      <c r="N262" s="504"/>
      <c r="O262" s="502">
        <f t="shared" si="21"/>
        <v>0</v>
      </c>
      <c r="P262" s="503"/>
      <c r="Q262" s="503"/>
      <c r="R262" s="504"/>
      <c r="S262" s="32"/>
      <c r="T262" s="483"/>
      <c r="U262" s="483"/>
      <c r="V262" s="483"/>
      <c r="W262" s="483"/>
      <c r="X262" s="483"/>
      <c r="Y262" s="483"/>
      <c r="Z262" s="483"/>
      <c r="AA262" s="483"/>
      <c r="AB262" s="160"/>
      <c r="AC262" s="160"/>
      <c r="AD262" s="161"/>
      <c r="AE262" s="161"/>
      <c r="AF262" s="161"/>
    </row>
    <row r="263" spans="1:32" ht="30.75" customHeight="1">
      <c r="A263" s="141">
        <v>11111</v>
      </c>
      <c r="B263" s="133" t="s">
        <v>275</v>
      </c>
      <c r="C263" s="496"/>
      <c r="D263" s="497"/>
      <c r="E263" s="497"/>
      <c r="F263" s="498"/>
      <c r="G263" s="496"/>
      <c r="H263" s="497"/>
      <c r="I263" s="497"/>
      <c r="J263" s="498"/>
      <c r="K263" s="505">
        <f t="shared" si="20"/>
        <v>0</v>
      </c>
      <c r="L263" s="503"/>
      <c r="M263" s="503"/>
      <c r="N263" s="504"/>
      <c r="O263" s="502">
        <f t="shared" si="21"/>
        <v>0</v>
      </c>
      <c r="P263" s="503"/>
      <c r="Q263" s="503"/>
      <c r="R263" s="504"/>
      <c r="S263" s="32"/>
      <c r="T263" s="483"/>
      <c r="U263" s="483"/>
      <c r="V263" s="483"/>
      <c r="W263" s="483"/>
      <c r="X263" s="483"/>
      <c r="Y263" s="483"/>
      <c r="Z263" s="483"/>
      <c r="AA263" s="483"/>
      <c r="AB263" s="160"/>
      <c r="AC263" s="160"/>
      <c r="AD263" s="161"/>
      <c r="AE263" s="161"/>
      <c r="AF263" s="161"/>
    </row>
    <row r="264" spans="1:32" ht="30.75" customHeight="1">
      <c r="A264" s="141">
        <v>11112</v>
      </c>
      <c r="B264" s="133" t="s">
        <v>496</v>
      </c>
      <c r="C264" s="496"/>
      <c r="D264" s="497"/>
      <c r="E264" s="497"/>
      <c r="F264" s="498"/>
      <c r="G264" s="496"/>
      <c r="H264" s="497"/>
      <c r="I264" s="497"/>
      <c r="J264" s="498"/>
      <c r="K264" s="505">
        <f t="shared" si="20"/>
        <v>0</v>
      </c>
      <c r="L264" s="503"/>
      <c r="M264" s="503"/>
      <c r="N264" s="504"/>
      <c r="O264" s="502">
        <f t="shared" si="21"/>
        <v>0</v>
      </c>
      <c r="P264" s="503"/>
      <c r="Q264" s="503"/>
      <c r="R264" s="504"/>
      <c r="S264" s="32"/>
      <c r="T264" s="483"/>
      <c r="U264" s="483"/>
      <c r="V264" s="483"/>
      <c r="W264" s="483"/>
      <c r="X264" s="483"/>
      <c r="Y264" s="483"/>
      <c r="Z264" s="483"/>
      <c r="AA264" s="483"/>
      <c r="AB264" s="160"/>
      <c r="AC264" s="160"/>
      <c r="AD264" s="161"/>
      <c r="AE264" s="161"/>
      <c r="AF264" s="161"/>
    </row>
    <row r="265" spans="1:32" ht="30.75" customHeight="1">
      <c r="A265" s="141">
        <v>11113</v>
      </c>
      <c r="B265" s="133" t="s">
        <v>497</v>
      </c>
      <c r="C265" s="496"/>
      <c r="D265" s="497"/>
      <c r="E265" s="497"/>
      <c r="F265" s="498"/>
      <c r="G265" s="496"/>
      <c r="H265" s="497"/>
      <c r="I265" s="497"/>
      <c r="J265" s="498"/>
      <c r="K265" s="505">
        <f t="shared" si="20"/>
        <v>0</v>
      </c>
      <c r="L265" s="503"/>
      <c r="M265" s="503"/>
      <c r="N265" s="504"/>
      <c r="O265" s="502">
        <f t="shared" si="21"/>
        <v>0</v>
      </c>
      <c r="P265" s="503"/>
      <c r="Q265" s="503"/>
      <c r="R265" s="504"/>
      <c r="S265" s="32"/>
      <c r="T265" s="483"/>
      <c r="U265" s="483"/>
      <c r="V265" s="483"/>
      <c r="W265" s="483"/>
      <c r="X265" s="483"/>
      <c r="Y265" s="483"/>
      <c r="Z265" s="483"/>
      <c r="AA265" s="483"/>
      <c r="AB265" s="160"/>
      <c r="AC265" s="160"/>
      <c r="AD265" s="161"/>
      <c r="AE265" s="161"/>
      <c r="AF265" s="161"/>
    </row>
    <row r="266" spans="1:32" ht="30.75" customHeight="1">
      <c r="A266" s="141">
        <v>11114</v>
      </c>
      <c r="B266" s="133" t="s">
        <v>498</v>
      </c>
      <c r="C266" s="496"/>
      <c r="D266" s="497"/>
      <c r="E266" s="497"/>
      <c r="F266" s="498"/>
      <c r="G266" s="496"/>
      <c r="H266" s="497"/>
      <c r="I266" s="497"/>
      <c r="J266" s="498"/>
      <c r="K266" s="505">
        <f t="shared" si="20"/>
        <v>0</v>
      </c>
      <c r="L266" s="503"/>
      <c r="M266" s="503"/>
      <c r="N266" s="504"/>
      <c r="O266" s="502">
        <f t="shared" si="21"/>
        <v>0</v>
      </c>
      <c r="P266" s="503"/>
      <c r="Q266" s="503"/>
      <c r="R266" s="504"/>
      <c r="S266" s="32"/>
      <c r="T266" s="483"/>
      <c r="U266" s="483"/>
      <c r="V266" s="483"/>
      <c r="W266" s="483"/>
      <c r="X266" s="483"/>
      <c r="Y266" s="483"/>
      <c r="Z266" s="483"/>
      <c r="AA266" s="483"/>
      <c r="AB266" s="160"/>
      <c r="AC266" s="160"/>
      <c r="AD266" s="161"/>
      <c r="AE266" s="161"/>
      <c r="AF266" s="161"/>
    </row>
    <row r="267" spans="1:32" ht="30.75" customHeight="1">
      <c r="A267" s="141">
        <v>11115</v>
      </c>
      <c r="B267" s="133" t="s">
        <v>499</v>
      </c>
      <c r="C267" s="496"/>
      <c r="D267" s="497"/>
      <c r="E267" s="497"/>
      <c r="F267" s="498"/>
      <c r="G267" s="496"/>
      <c r="H267" s="497"/>
      <c r="I267" s="497"/>
      <c r="J267" s="498"/>
      <c r="K267" s="505">
        <f t="shared" si="20"/>
        <v>0</v>
      </c>
      <c r="L267" s="503"/>
      <c r="M267" s="503"/>
      <c r="N267" s="504"/>
      <c r="O267" s="502">
        <f t="shared" si="21"/>
        <v>0</v>
      </c>
      <c r="P267" s="503"/>
      <c r="Q267" s="503"/>
      <c r="R267" s="504"/>
      <c r="S267" s="32"/>
      <c r="T267" s="483"/>
      <c r="U267" s="483"/>
      <c r="V267" s="483"/>
      <c r="W267" s="483"/>
      <c r="X267" s="483"/>
      <c r="Y267" s="483"/>
      <c r="Z267" s="483"/>
      <c r="AA267" s="483"/>
      <c r="AB267" s="160"/>
      <c r="AC267" s="160"/>
      <c r="AD267" s="161"/>
      <c r="AE267" s="161"/>
      <c r="AF267" s="161"/>
    </row>
    <row r="268" spans="1:32" ht="30.75" customHeight="1">
      <c r="A268" s="141">
        <v>11116</v>
      </c>
      <c r="B268" s="133" t="s">
        <v>500</v>
      </c>
      <c r="C268" s="496"/>
      <c r="D268" s="497"/>
      <c r="E268" s="497"/>
      <c r="F268" s="498"/>
      <c r="G268" s="496"/>
      <c r="H268" s="497"/>
      <c r="I268" s="497"/>
      <c r="J268" s="498"/>
      <c r="K268" s="505">
        <f t="shared" si="20"/>
        <v>0</v>
      </c>
      <c r="L268" s="503"/>
      <c r="M268" s="503"/>
      <c r="N268" s="504"/>
      <c r="O268" s="502">
        <f t="shared" si="21"/>
        <v>0</v>
      </c>
      <c r="P268" s="503"/>
      <c r="Q268" s="503"/>
      <c r="R268" s="504"/>
      <c r="S268" s="32"/>
      <c r="T268" s="483"/>
      <c r="U268" s="483"/>
      <c r="V268" s="483"/>
      <c r="W268" s="483"/>
      <c r="X268" s="483"/>
      <c r="Y268" s="483"/>
      <c r="Z268" s="483"/>
      <c r="AA268" s="483"/>
      <c r="AB268" s="160"/>
      <c r="AC268" s="160"/>
      <c r="AD268" s="161"/>
      <c r="AE268" s="161"/>
      <c r="AF268" s="161"/>
    </row>
    <row r="269" spans="1:32" ht="30.75" customHeight="1" thickBot="1">
      <c r="A269" s="142">
        <v>11117</v>
      </c>
      <c r="B269" s="135" t="s">
        <v>501</v>
      </c>
      <c r="C269" s="496"/>
      <c r="D269" s="497"/>
      <c r="E269" s="497"/>
      <c r="F269" s="498"/>
      <c r="G269" s="496"/>
      <c r="H269" s="497"/>
      <c r="I269" s="497"/>
      <c r="J269" s="498"/>
      <c r="K269" s="548">
        <f t="shared" si="20"/>
        <v>0</v>
      </c>
      <c r="L269" s="549"/>
      <c r="M269" s="549"/>
      <c r="N269" s="550"/>
      <c r="O269" s="551">
        <f t="shared" si="21"/>
        <v>0</v>
      </c>
      <c r="P269" s="549"/>
      <c r="Q269" s="549"/>
      <c r="R269" s="550"/>
      <c r="S269" s="32"/>
      <c r="T269" s="483"/>
      <c r="U269" s="483"/>
      <c r="V269" s="483"/>
      <c r="W269" s="483"/>
      <c r="X269" s="483"/>
      <c r="Y269" s="483"/>
      <c r="Z269" s="483"/>
      <c r="AA269" s="483"/>
      <c r="AB269" s="160"/>
      <c r="AC269" s="160"/>
      <c r="AD269" s="161"/>
      <c r="AE269" s="161"/>
      <c r="AF269" s="161"/>
    </row>
    <row r="270" spans="1:32" ht="30.75" customHeight="1" thickBot="1">
      <c r="A270" s="531" t="s">
        <v>127</v>
      </c>
      <c r="B270" s="532"/>
      <c r="C270" s="516">
        <f>SUM(C253:F269)</f>
        <v>0</v>
      </c>
      <c r="D270" s="517"/>
      <c r="E270" s="517"/>
      <c r="F270" s="518"/>
      <c r="G270" s="516">
        <f>SUM(G253:J269)</f>
        <v>0</v>
      </c>
      <c r="H270" s="517"/>
      <c r="I270" s="517"/>
      <c r="J270" s="519"/>
      <c r="K270" s="522">
        <f>SUM(K253:N269)</f>
        <v>0</v>
      </c>
      <c r="L270" s="522"/>
      <c r="M270" s="522"/>
      <c r="N270" s="523"/>
      <c r="O270" s="521">
        <f>SUM(O253:R269)</f>
        <v>0</v>
      </c>
      <c r="P270" s="522"/>
      <c r="Q270" s="522"/>
      <c r="R270" s="523"/>
      <c r="S270" s="32"/>
      <c r="T270" s="481" t="str">
        <f>IF(K270=O270," "," مغایرت جمع مانده بدهکار با جمع مانده بستانکار")</f>
        <v xml:space="preserve"> </v>
      </c>
      <c r="U270" s="481"/>
      <c r="V270" s="481"/>
      <c r="W270" s="481"/>
      <c r="X270" s="481"/>
      <c r="Y270" s="481"/>
      <c r="Z270" s="481"/>
      <c r="AA270" s="481"/>
      <c r="AB270" s="160"/>
      <c r="AC270" s="160"/>
      <c r="AD270" s="161"/>
      <c r="AE270" s="161"/>
      <c r="AF270" s="161"/>
    </row>
    <row r="271" spans="1:32" s="2" customFormat="1" ht="28.5" thickBot="1">
      <c r="A271" s="140">
        <v>112</v>
      </c>
      <c r="B271" s="30"/>
      <c r="C271" s="499" t="s">
        <v>529</v>
      </c>
      <c r="D271" s="500"/>
      <c r="E271" s="500"/>
      <c r="F271" s="500"/>
      <c r="G271" s="500"/>
      <c r="H271" s="500"/>
      <c r="I271" s="500"/>
      <c r="J271" s="500"/>
      <c r="K271" s="500"/>
      <c r="L271" s="500"/>
      <c r="M271" s="500"/>
      <c r="N271" s="500"/>
      <c r="O271" s="500"/>
      <c r="P271" s="500"/>
      <c r="Q271" s="500"/>
      <c r="R271" s="501"/>
      <c r="S271" s="33"/>
      <c r="T271" s="483"/>
      <c r="U271" s="483"/>
      <c r="V271" s="483"/>
      <c r="W271" s="483"/>
      <c r="X271" s="483"/>
      <c r="Y271" s="483"/>
      <c r="Z271" s="483"/>
      <c r="AA271" s="483"/>
      <c r="AB271" s="96"/>
      <c r="AC271" s="96"/>
    </row>
    <row r="272" spans="1:32" ht="30.75" customHeight="1">
      <c r="A272" s="143">
        <v>11201</v>
      </c>
      <c r="B272" s="137" t="s">
        <v>276</v>
      </c>
      <c r="C272" s="496"/>
      <c r="D272" s="497"/>
      <c r="E272" s="497"/>
      <c r="F272" s="498"/>
      <c r="G272" s="496"/>
      <c r="H272" s="497"/>
      <c r="I272" s="497"/>
      <c r="J272" s="498"/>
      <c r="K272" s="505">
        <f>IF(C272&gt;G272,C272-G272,0)</f>
        <v>0</v>
      </c>
      <c r="L272" s="503"/>
      <c r="M272" s="503"/>
      <c r="N272" s="504"/>
      <c r="O272" s="502">
        <f>IF(G272&gt;C272,G272-C272,0)</f>
        <v>0</v>
      </c>
      <c r="P272" s="503"/>
      <c r="Q272" s="503"/>
      <c r="R272" s="504"/>
      <c r="S272" s="32"/>
      <c r="T272" s="483"/>
      <c r="U272" s="483"/>
      <c r="V272" s="483"/>
      <c r="W272" s="483"/>
      <c r="X272" s="483"/>
      <c r="Y272" s="483"/>
      <c r="Z272" s="483"/>
      <c r="AA272" s="483"/>
      <c r="AB272" s="160"/>
      <c r="AC272" s="160"/>
      <c r="AD272" s="161"/>
      <c r="AE272" s="161"/>
      <c r="AF272" s="161"/>
    </row>
    <row r="273" spans="1:32" ht="30.75" customHeight="1">
      <c r="A273" s="141">
        <v>11202</v>
      </c>
      <c r="B273" s="137" t="s">
        <v>277</v>
      </c>
      <c r="C273" s="496"/>
      <c r="D273" s="497"/>
      <c r="E273" s="497"/>
      <c r="F273" s="498"/>
      <c r="G273" s="496"/>
      <c r="H273" s="497"/>
      <c r="I273" s="497"/>
      <c r="J273" s="498"/>
      <c r="K273" s="505">
        <f>IF(C273&gt;G273,C273-G273,0)</f>
        <v>0</v>
      </c>
      <c r="L273" s="503"/>
      <c r="M273" s="503"/>
      <c r="N273" s="504"/>
      <c r="O273" s="502">
        <f>IF(G273&gt;C273,G273-C273,0)</f>
        <v>0</v>
      </c>
      <c r="P273" s="503"/>
      <c r="Q273" s="503"/>
      <c r="R273" s="504"/>
      <c r="S273" s="32"/>
      <c r="T273" s="483"/>
      <c r="U273" s="483"/>
      <c r="V273" s="483"/>
      <c r="W273" s="483"/>
      <c r="X273" s="483"/>
      <c r="Y273" s="483"/>
      <c r="Z273" s="483"/>
      <c r="AA273" s="483"/>
      <c r="AB273" s="160"/>
      <c r="AC273" s="160"/>
      <c r="AD273" s="161"/>
      <c r="AE273" s="161"/>
      <c r="AF273" s="161"/>
    </row>
    <row r="274" spans="1:32" ht="30.75" customHeight="1">
      <c r="A274" s="141">
        <v>11203</v>
      </c>
      <c r="B274" s="137" t="s">
        <v>279</v>
      </c>
      <c r="C274" s="496"/>
      <c r="D274" s="497"/>
      <c r="E274" s="497"/>
      <c r="F274" s="498"/>
      <c r="G274" s="496"/>
      <c r="H274" s="497"/>
      <c r="I274" s="497"/>
      <c r="J274" s="498"/>
      <c r="K274" s="505">
        <f t="shared" ref="K274:K289" si="22">IF(C274&gt;G274,C274-G274,0)</f>
        <v>0</v>
      </c>
      <c r="L274" s="503"/>
      <c r="M274" s="503"/>
      <c r="N274" s="504"/>
      <c r="O274" s="502">
        <f t="shared" ref="O274:O289" si="23">IF(G274&gt;C274,G274-C274,0)</f>
        <v>0</v>
      </c>
      <c r="P274" s="503"/>
      <c r="Q274" s="503"/>
      <c r="R274" s="504"/>
      <c r="S274" s="32"/>
      <c r="T274" s="483"/>
      <c r="U274" s="483"/>
      <c r="V274" s="483"/>
      <c r="W274" s="483"/>
      <c r="X274" s="483"/>
      <c r="Y274" s="483"/>
      <c r="Z274" s="483"/>
      <c r="AA274" s="483"/>
      <c r="AB274" s="160"/>
      <c r="AC274" s="160"/>
      <c r="AD274" s="161"/>
      <c r="AE274" s="161"/>
      <c r="AF274" s="161"/>
    </row>
    <row r="275" spans="1:32" ht="30.75" customHeight="1">
      <c r="A275" s="141">
        <v>11204</v>
      </c>
      <c r="B275" s="137" t="s">
        <v>278</v>
      </c>
      <c r="C275" s="496"/>
      <c r="D275" s="497"/>
      <c r="E275" s="497"/>
      <c r="F275" s="498"/>
      <c r="G275" s="496"/>
      <c r="H275" s="497"/>
      <c r="I275" s="497"/>
      <c r="J275" s="498"/>
      <c r="K275" s="505">
        <f t="shared" si="22"/>
        <v>0</v>
      </c>
      <c r="L275" s="503"/>
      <c r="M275" s="503"/>
      <c r="N275" s="504"/>
      <c r="O275" s="502">
        <f t="shared" si="23"/>
        <v>0</v>
      </c>
      <c r="P275" s="503"/>
      <c r="Q275" s="503"/>
      <c r="R275" s="504"/>
      <c r="S275" s="32"/>
      <c r="T275" s="483"/>
      <c r="U275" s="483"/>
      <c r="V275" s="483"/>
      <c r="W275" s="483"/>
      <c r="X275" s="483"/>
      <c r="Y275" s="483"/>
      <c r="Z275" s="483"/>
      <c r="AA275" s="483"/>
      <c r="AB275" s="160"/>
      <c r="AC275" s="160"/>
      <c r="AD275" s="161"/>
      <c r="AE275" s="161"/>
      <c r="AF275" s="161"/>
    </row>
    <row r="276" spans="1:32" ht="30.75" customHeight="1">
      <c r="A276" s="141">
        <v>11205</v>
      </c>
      <c r="B276" s="137" t="s">
        <v>280</v>
      </c>
      <c r="C276" s="496"/>
      <c r="D276" s="497"/>
      <c r="E276" s="497"/>
      <c r="F276" s="498"/>
      <c r="G276" s="496"/>
      <c r="H276" s="497"/>
      <c r="I276" s="497"/>
      <c r="J276" s="498"/>
      <c r="K276" s="505">
        <f t="shared" si="22"/>
        <v>0</v>
      </c>
      <c r="L276" s="503"/>
      <c r="M276" s="503"/>
      <c r="N276" s="504"/>
      <c r="O276" s="502">
        <f t="shared" si="23"/>
        <v>0</v>
      </c>
      <c r="P276" s="503"/>
      <c r="Q276" s="503"/>
      <c r="R276" s="504"/>
      <c r="S276" s="32"/>
      <c r="T276" s="483"/>
      <c r="U276" s="483"/>
      <c r="V276" s="483"/>
      <c r="W276" s="483"/>
      <c r="X276" s="483"/>
      <c r="Y276" s="483"/>
      <c r="Z276" s="483"/>
      <c r="AA276" s="483"/>
      <c r="AB276" s="160"/>
      <c r="AC276" s="160"/>
      <c r="AD276" s="161"/>
      <c r="AE276" s="161"/>
      <c r="AF276" s="161"/>
    </row>
    <row r="277" spans="1:32" ht="30.75" customHeight="1">
      <c r="A277" s="141">
        <v>11206</v>
      </c>
      <c r="B277" s="137" t="s">
        <v>282</v>
      </c>
      <c r="C277" s="496"/>
      <c r="D277" s="497"/>
      <c r="E277" s="497"/>
      <c r="F277" s="498"/>
      <c r="G277" s="496"/>
      <c r="H277" s="497"/>
      <c r="I277" s="497"/>
      <c r="J277" s="498"/>
      <c r="K277" s="505">
        <f t="shared" si="22"/>
        <v>0</v>
      </c>
      <c r="L277" s="503"/>
      <c r="M277" s="503"/>
      <c r="N277" s="504"/>
      <c r="O277" s="502">
        <f t="shared" si="23"/>
        <v>0</v>
      </c>
      <c r="P277" s="503"/>
      <c r="Q277" s="503"/>
      <c r="R277" s="504"/>
      <c r="S277" s="32"/>
      <c r="T277" s="483"/>
      <c r="U277" s="483"/>
      <c r="V277" s="483"/>
      <c r="W277" s="483"/>
      <c r="X277" s="483"/>
      <c r="Y277" s="483"/>
      <c r="Z277" s="483"/>
      <c r="AA277" s="483"/>
      <c r="AB277" s="160"/>
      <c r="AC277" s="160"/>
      <c r="AD277" s="161"/>
      <c r="AE277" s="161"/>
      <c r="AF277" s="161"/>
    </row>
    <row r="278" spans="1:32" ht="30.75" customHeight="1">
      <c r="A278" s="141">
        <v>11207</v>
      </c>
      <c r="B278" s="137" t="s">
        <v>281</v>
      </c>
      <c r="C278" s="496"/>
      <c r="D278" s="497"/>
      <c r="E278" s="497"/>
      <c r="F278" s="498"/>
      <c r="G278" s="496"/>
      <c r="H278" s="497"/>
      <c r="I278" s="497"/>
      <c r="J278" s="498"/>
      <c r="K278" s="505">
        <f t="shared" si="22"/>
        <v>0</v>
      </c>
      <c r="L278" s="503"/>
      <c r="M278" s="503"/>
      <c r="N278" s="504"/>
      <c r="O278" s="502">
        <f t="shared" si="23"/>
        <v>0</v>
      </c>
      <c r="P278" s="503"/>
      <c r="Q278" s="503"/>
      <c r="R278" s="504"/>
      <c r="S278" s="32"/>
      <c r="T278" s="483"/>
      <c r="U278" s="483"/>
      <c r="V278" s="483"/>
      <c r="W278" s="483"/>
      <c r="X278" s="483"/>
      <c r="Y278" s="483"/>
      <c r="Z278" s="483"/>
      <c r="AA278" s="483"/>
      <c r="AB278" s="160"/>
      <c r="AC278" s="160"/>
      <c r="AD278" s="161"/>
      <c r="AE278" s="161"/>
      <c r="AF278" s="161"/>
    </row>
    <row r="279" spans="1:32" ht="30.75" customHeight="1">
      <c r="A279" s="141">
        <v>11208</v>
      </c>
      <c r="B279" s="133" t="s">
        <v>502</v>
      </c>
      <c r="C279" s="496"/>
      <c r="D279" s="497"/>
      <c r="E279" s="497"/>
      <c r="F279" s="498"/>
      <c r="G279" s="496"/>
      <c r="H279" s="497"/>
      <c r="I279" s="497"/>
      <c r="J279" s="498"/>
      <c r="K279" s="505">
        <f t="shared" si="22"/>
        <v>0</v>
      </c>
      <c r="L279" s="503"/>
      <c r="M279" s="503"/>
      <c r="N279" s="504"/>
      <c r="O279" s="502">
        <f t="shared" si="23"/>
        <v>0</v>
      </c>
      <c r="P279" s="503"/>
      <c r="Q279" s="503"/>
      <c r="R279" s="504"/>
      <c r="S279" s="32"/>
      <c r="T279" s="483"/>
      <c r="U279" s="483"/>
      <c r="V279" s="483"/>
      <c r="W279" s="483"/>
      <c r="X279" s="483"/>
      <c r="Y279" s="483"/>
      <c r="Z279" s="483"/>
      <c r="AA279" s="483"/>
      <c r="AB279" s="160"/>
      <c r="AC279" s="160"/>
      <c r="AD279" s="161"/>
      <c r="AE279" s="161"/>
      <c r="AF279" s="161"/>
    </row>
    <row r="280" spans="1:32" ht="30.75" customHeight="1">
      <c r="A280" s="141">
        <v>11209</v>
      </c>
      <c r="B280" s="133" t="s">
        <v>503</v>
      </c>
      <c r="C280" s="496"/>
      <c r="D280" s="497"/>
      <c r="E280" s="497"/>
      <c r="F280" s="498"/>
      <c r="G280" s="496"/>
      <c r="H280" s="497"/>
      <c r="I280" s="497"/>
      <c r="J280" s="498"/>
      <c r="K280" s="505">
        <f t="shared" si="22"/>
        <v>0</v>
      </c>
      <c r="L280" s="503"/>
      <c r="M280" s="503"/>
      <c r="N280" s="504"/>
      <c r="O280" s="502">
        <f t="shared" si="23"/>
        <v>0</v>
      </c>
      <c r="P280" s="503"/>
      <c r="Q280" s="503"/>
      <c r="R280" s="504"/>
      <c r="S280" s="32"/>
      <c r="T280" s="483"/>
      <c r="U280" s="483"/>
      <c r="V280" s="483"/>
      <c r="W280" s="483"/>
      <c r="X280" s="483"/>
      <c r="Y280" s="483"/>
      <c r="Z280" s="483"/>
      <c r="AA280" s="483"/>
      <c r="AB280" s="160"/>
      <c r="AC280" s="160"/>
      <c r="AD280" s="161"/>
      <c r="AE280" s="161"/>
      <c r="AF280" s="161"/>
    </row>
    <row r="281" spans="1:32" ht="30.75" customHeight="1">
      <c r="A281" s="141">
        <v>11210</v>
      </c>
      <c r="B281" s="133" t="s">
        <v>504</v>
      </c>
      <c r="C281" s="496"/>
      <c r="D281" s="497"/>
      <c r="E281" s="497"/>
      <c r="F281" s="498"/>
      <c r="G281" s="496"/>
      <c r="H281" s="497"/>
      <c r="I281" s="497"/>
      <c r="J281" s="498"/>
      <c r="K281" s="505">
        <f t="shared" si="22"/>
        <v>0</v>
      </c>
      <c r="L281" s="503"/>
      <c r="M281" s="503"/>
      <c r="N281" s="504"/>
      <c r="O281" s="502">
        <f t="shared" si="23"/>
        <v>0</v>
      </c>
      <c r="P281" s="503"/>
      <c r="Q281" s="503"/>
      <c r="R281" s="504"/>
      <c r="S281" s="32"/>
      <c r="T281" s="483"/>
      <c r="U281" s="483"/>
      <c r="V281" s="483"/>
      <c r="W281" s="483"/>
      <c r="X281" s="483"/>
      <c r="Y281" s="483"/>
      <c r="Z281" s="483"/>
      <c r="AA281" s="483"/>
      <c r="AB281" s="160"/>
      <c r="AC281" s="160"/>
      <c r="AD281" s="161"/>
      <c r="AE281" s="161"/>
      <c r="AF281" s="161"/>
    </row>
    <row r="282" spans="1:32" ht="30.75" customHeight="1">
      <c r="A282" s="141">
        <v>11211</v>
      </c>
      <c r="B282" s="133" t="s">
        <v>505</v>
      </c>
      <c r="C282" s="496"/>
      <c r="D282" s="497"/>
      <c r="E282" s="497"/>
      <c r="F282" s="498"/>
      <c r="G282" s="496"/>
      <c r="H282" s="497"/>
      <c r="I282" s="497"/>
      <c r="J282" s="498"/>
      <c r="K282" s="505">
        <f t="shared" si="22"/>
        <v>0</v>
      </c>
      <c r="L282" s="503"/>
      <c r="M282" s="503"/>
      <c r="N282" s="504"/>
      <c r="O282" s="502">
        <f t="shared" si="23"/>
        <v>0</v>
      </c>
      <c r="P282" s="503"/>
      <c r="Q282" s="503"/>
      <c r="R282" s="504"/>
      <c r="S282" s="32"/>
      <c r="T282" s="483"/>
      <c r="U282" s="483"/>
      <c r="V282" s="483"/>
      <c r="W282" s="483"/>
      <c r="X282" s="483"/>
      <c r="Y282" s="483"/>
      <c r="Z282" s="483"/>
      <c r="AA282" s="483"/>
      <c r="AB282" s="160"/>
      <c r="AC282" s="160"/>
      <c r="AD282" s="161"/>
      <c r="AE282" s="161"/>
      <c r="AF282" s="161"/>
    </row>
    <row r="283" spans="1:32" ht="30.75" customHeight="1">
      <c r="A283" s="141">
        <v>11212</v>
      </c>
      <c r="B283" s="133" t="s">
        <v>506</v>
      </c>
      <c r="C283" s="496"/>
      <c r="D283" s="497"/>
      <c r="E283" s="497"/>
      <c r="F283" s="498"/>
      <c r="G283" s="496"/>
      <c r="H283" s="497"/>
      <c r="I283" s="497"/>
      <c r="J283" s="498"/>
      <c r="K283" s="505">
        <f t="shared" si="22"/>
        <v>0</v>
      </c>
      <c r="L283" s="503"/>
      <c r="M283" s="503"/>
      <c r="N283" s="504"/>
      <c r="O283" s="502">
        <f t="shared" si="23"/>
        <v>0</v>
      </c>
      <c r="P283" s="503"/>
      <c r="Q283" s="503"/>
      <c r="R283" s="504"/>
      <c r="S283" s="32"/>
      <c r="T283" s="483"/>
      <c r="U283" s="483"/>
      <c r="V283" s="483"/>
      <c r="W283" s="483"/>
      <c r="X283" s="483"/>
      <c r="Y283" s="483"/>
      <c r="Z283" s="483"/>
      <c r="AA283" s="483"/>
      <c r="AB283" s="160"/>
      <c r="AC283" s="160"/>
      <c r="AD283" s="161"/>
      <c r="AE283" s="161"/>
      <c r="AF283" s="161"/>
    </row>
    <row r="284" spans="1:32" ht="30.75" customHeight="1">
      <c r="A284" s="141">
        <v>11213</v>
      </c>
      <c r="B284" s="133" t="s">
        <v>507</v>
      </c>
      <c r="C284" s="496"/>
      <c r="D284" s="497"/>
      <c r="E284" s="497"/>
      <c r="F284" s="498"/>
      <c r="G284" s="496"/>
      <c r="H284" s="497"/>
      <c r="I284" s="497"/>
      <c r="J284" s="498"/>
      <c r="K284" s="505">
        <f t="shared" si="22"/>
        <v>0</v>
      </c>
      <c r="L284" s="503"/>
      <c r="M284" s="503"/>
      <c r="N284" s="504"/>
      <c r="O284" s="502">
        <f t="shared" si="23"/>
        <v>0</v>
      </c>
      <c r="P284" s="503"/>
      <c r="Q284" s="503"/>
      <c r="R284" s="504"/>
      <c r="S284" s="32"/>
      <c r="T284" s="483"/>
      <c r="U284" s="483"/>
      <c r="V284" s="483"/>
      <c r="W284" s="483"/>
      <c r="X284" s="483"/>
      <c r="Y284" s="483"/>
      <c r="Z284" s="483"/>
      <c r="AA284" s="483"/>
      <c r="AB284" s="160"/>
      <c r="AC284" s="160"/>
      <c r="AD284" s="161"/>
      <c r="AE284" s="161"/>
      <c r="AF284" s="161"/>
    </row>
    <row r="285" spans="1:32" ht="30.75" customHeight="1">
      <c r="A285" s="141">
        <v>11214</v>
      </c>
      <c r="B285" s="133" t="s">
        <v>508</v>
      </c>
      <c r="C285" s="496"/>
      <c r="D285" s="497"/>
      <c r="E285" s="497"/>
      <c r="F285" s="498"/>
      <c r="G285" s="496"/>
      <c r="H285" s="497"/>
      <c r="I285" s="497"/>
      <c r="J285" s="498"/>
      <c r="K285" s="505">
        <f t="shared" si="22"/>
        <v>0</v>
      </c>
      <c r="L285" s="503"/>
      <c r="M285" s="503"/>
      <c r="N285" s="504"/>
      <c r="O285" s="502">
        <f t="shared" si="23"/>
        <v>0</v>
      </c>
      <c r="P285" s="503"/>
      <c r="Q285" s="503"/>
      <c r="R285" s="504"/>
      <c r="S285" s="32"/>
      <c r="T285" s="483"/>
      <c r="U285" s="483"/>
      <c r="V285" s="483"/>
      <c r="W285" s="483"/>
      <c r="X285" s="483"/>
      <c r="Y285" s="483"/>
      <c r="Z285" s="483"/>
      <c r="AA285" s="483"/>
      <c r="AB285" s="160"/>
      <c r="AC285" s="160"/>
      <c r="AD285" s="161"/>
      <c r="AE285" s="161"/>
      <c r="AF285" s="161"/>
    </row>
    <row r="286" spans="1:32" ht="30.75" customHeight="1">
      <c r="A286" s="141">
        <v>11215</v>
      </c>
      <c r="B286" s="133" t="s">
        <v>509</v>
      </c>
      <c r="C286" s="496"/>
      <c r="D286" s="497"/>
      <c r="E286" s="497"/>
      <c r="F286" s="498"/>
      <c r="G286" s="496"/>
      <c r="H286" s="497"/>
      <c r="I286" s="497"/>
      <c r="J286" s="498"/>
      <c r="K286" s="505">
        <f t="shared" si="22"/>
        <v>0</v>
      </c>
      <c r="L286" s="503"/>
      <c r="M286" s="503"/>
      <c r="N286" s="504"/>
      <c r="O286" s="502">
        <f t="shared" si="23"/>
        <v>0</v>
      </c>
      <c r="P286" s="503"/>
      <c r="Q286" s="503"/>
      <c r="R286" s="504"/>
      <c r="S286" s="32"/>
      <c r="T286" s="483"/>
      <c r="U286" s="483"/>
      <c r="V286" s="483"/>
      <c r="W286" s="483"/>
      <c r="X286" s="483"/>
      <c r="Y286" s="483"/>
      <c r="Z286" s="483"/>
      <c r="AA286" s="483"/>
      <c r="AB286" s="160"/>
      <c r="AC286" s="160"/>
      <c r="AD286" s="161"/>
      <c r="AE286" s="161"/>
      <c r="AF286" s="161"/>
    </row>
    <row r="287" spans="1:32" ht="30.75" customHeight="1">
      <c r="A287" s="141">
        <v>11216</v>
      </c>
      <c r="B287" s="133" t="s">
        <v>510</v>
      </c>
      <c r="C287" s="496"/>
      <c r="D287" s="497"/>
      <c r="E287" s="497"/>
      <c r="F287" s="498"/>
      <c r="G287" s="496"/>
      <c r="H287" s="497"/>
      <c r="I287" s="497"/>
      <c r="J287" s="498"/>
      <c r="K287" s="505">
        <f t="shared" si="22"/>
        <v>0</v>
      </c>
      <c r="L287" s="503"/>
      <c r="M287" s="503"/>
      <c r="N287" s="504"/>
      <c r="O287" s="502">
        <f t="shared" si="23"/>
        <v>0</v>
      </c>
      <c r="P287" s="503"/>
      <c r="Q287" s="503"/>
      <c r="R287" s="504"/>
      <c r="S287" s="32"/>
      <c r="T287" s="483"/>
      <c r="U287" s="483"/>
      <c r="V287" s="483"/>
      <c r="W287" s="483"/>
      <c r="X287" s="483"/>
      <c r="Y287" s="483"/>
      <c r="Z287" s="483"/>
      <c r="AA287" s="483"/>
      <c r="AB287" s="160"/>
      <c r="AC287" s="160"/>
      <c r="AD287" s="161"/>
      <c r="AE287" s="161"/>
      <c r="AF287" s="161"/>
    </row>
    <row r="288" spans="1:32" ht="30.75" customHeight="1">
      <c r="A288" s="141">
        <v>11217</v>
      </c>
      <c r="B288" s="133" t="s">
        <v>511</v>
      </c>
      <c r="C288" s="496"/>
      <c r="D288" s="497"/>
      <c r="E288" s="497"/>
      <c r="F288" s="498"/>
      <c r="G288" s="496"/>
      <c r="H288" s="497"/>
      <c r="I288" s="497"/>
      <c r="J288" s="498"/>
      <c r="K288" s="505">
        <f t="shared" si="22"/>
        <v>0</v>
      </c>
      <c r="L288" s="503"/>
      <c r="M288" s="503"/>
      <c r="N288" s="504"/>
      <c r="O288" s="502">
        <f t="shared" si="23"/>
        <v>0</v>
      </c>
      <c r="P288" s="503"/>
      <c r="Q288" s="503"/>
      <c r="R288" s="504"/>
      <c r="S288" s="32"/>
      <c r="T288" s="483"/>
      <c r="U288" s="483"/>
      <c r="V288" s="483"/>
      <c r="W288" s="483"/>
      <c r="X288" s="483"/>
      <c r="Y288" s="483"/>
      <c r="Z288" s="483"/>
      <c r="AA288" s="483"/>
      <c r="AB288" s="160"/>
      <c r="AC288" s="160"/>
      <c r="AD288" s="161"/>
      <c r="AE288" s="161"/>
      <c r="AF288" s="161"/>
    </row>
    <row r="289" spans="1:32" ht="30.75" customHeight="1" thickBot="1">
      <c r="A289" s="142">
        <v>11218</v>
      </c>
      <c r="B289" s="136" t="s">
        <v>512</v>
      </c>
      <c r="C289" s="496"/>
      <c r="D289" s="497"/>
      <c r="E289" s="497"/>
      <c r="F289" s="498"/>
      <c r="G289" s="496"/>
      <c r="H289" s="497"/>
      <c r="I289" s="497"/>
      <c r="J289" s="498"/>
      <c r="K289" s="548">
        <f t="shared" si="22"/>
        <v>0</v>
      </c>
      <c r="L289" s="549"/>
      <c r="M289" s="549"/>
      <c r="N289" s="550"/>
      <c r="O289" s="551">
        <f t="shared" si="23"/>
        <v>0</v>
      </c>
      <c r="P289" s="549"/>
      <c r="Q289" s="549"/>
      <c r="R289" s="550"/>
      <c r="S289" s="32"/>
      <c r="T289" s="483"/>
      <c r="U289" s="483"/>
      <c r="V289" s="483"/>
      <c r="W289" s="483"/>
      <c r="X289" s="483"/>
      <c r="Y289" s="483"/>
      <c r="Z289" s="483"/>
      <c r="AA289" s="483"/>
      <c r="AB289" s="160"/>
      <c r="AC289" s="160"/>
      <c r="AD289" s="161"/>
      <c r="AE289" s="161"/>
      <c r="AF289" s="161"/>
    </row>
    <row r="290" spans="1:32" ht="30.75" customHeight="1" thickBot="1">
      <c r="A290" s="529" t="s">
        <v>127</v>
      </c>
      <c r="B290" s="530"/>
      <c r="C290" s="521">
        <f>SUM(C272:F289)</f>
        <v>0</v>
      </c>
      <c r="D290" s="522"/>
      <c r="E290" s="522"/>
      <c r="F290" s="523"/>
      <c r="G290" s="521">
        <f>SUM(G272:J289)</f>
        <v>0</v>
      </c>
      <c r="H290" s="522"/>
      <c r="I290" s="522"/>
      <c r="J290" s="522"/>
      <c r="K290" s="556">
        <f>SUM(K272:N289)</f>
        <v>0</v>
      </c>
      <c r="L290" s="557"/>
      <c r="M290" s="557"/>
      <c r="N290" s="558"/>
      <c r="O290" s="521">
        <f>SUM(O272:R289)</f>
        <v>0</v>
      </c>
      <c r="P290" s="522"/>
      <c r="Q290" s="522"/>
      <c r="R290" s="523"/>
      <c r="S290" s="32"/>
      <c r="T290" s="481" t="str">
        <f>IF(K290=O290," "," مغایرت جمع مانده بدهکار با جمع مانده بستانکار")</f>
        <v xml:space="preserve"> </v>
      </c>
      <c r="U290" s="481"/>
      <c r="V290" s="481"/>
      <c r="W290" s="481"/>
      <c r="X290" s="481"/>
      <c r="Y290" s="481"/>
      <c r="Z290" s="481"/>
      <c r="AA290" s="481"/>
      <c r="AB290" s="160"/>
      <c r="AC290" s="160"/>
      <c r="AD290" s="161"/>
      <c r="AE290" s="161"/>
      <c r="AF290" s="161"/>
    </row>
    <row r="291" spans="1:32" s="2" customFormat="1" ht="28.5" thickBot="1">
      <c r="A291" s="140">
        <v>113</v>
      </c>
      <c r="B291" s="30"/>
      <c r="C291" s="499" t="s">
        <v>530</v>
      </c>
      <c r="D291" s="500"/>
      <c r="E291" s="500"/>
      <c r="F291" s="500"/>
      <c r="G291" s="500"/>
      <c r="H291" s="500"/>
      <c r="I291" s="500"/>
      <c r="J291" s="500"/>
      <c r="K291" s="500"/>
      <c r="L291" s="500"/>
      <c r="M291" s="500"/>
      <c r="N291" s="500"/>
      <c r="O291" s="500"/>
      <c r="P291" s="500"/>
      <c r="Q291" s="500"/>
      <c r="R291" s="501"/>
      <c r="S291" s="33"/>
      <c r="T291" s="483"/>
      <c r="U291" s="483"/>
      <c r="V291" s="483"/>
      <c r="W291" s="483"/>
      <c r="X291" s="483"/>
      <c r="Y291" s="483"/>
      <c r="Z291" s="483"/>
      <c r="AA291" s="483"/>
      <c r="AB291" s="96"/>
      <c r="AC291" s="96"/>
    </row>
    <row r="292" spans="1:32" ht="30.75" customHeight="1">
      <c r="A292" s="143">
        <v>11301</v>
      </c>
      <c r="B292" s="133" t="s">
        <v>283</v>
      </c>
      <c r="C292" s="496"/>
      <c r="D292" s="497"/>
      <c r="E292" s="497"/>
      <c r="F292" s="498"/>
      <c r="G292" s="496"/>
      <c r="H292" s="497"/>
      <c r="I292" s="497"/>
      <c r="J292" s="498"/>
      <c r="K292" s="505">
        <f>IF(C292&gt;G292,C292-G292,0)</f>
        <v>0</v>
      </c>
      <c r="L292" s="503"/>
      <c r="M292" s="503"/>
      <c r="N292" s="504"/>
      <c r="O292" s="502">
        <f>IF(G292&gt;C292,G292-C292,0)</f>
        <v>0</v>
      </c>
      <c r="P292" s="503"/>
      <c r="Q292" s="503"/>
      <c r="R292" s="504"/>
      <c r="S292" s="32"/>
      <c r="T292" s="483"/>
      <c r="U292" s="483"/>
      <c r="V292" s="483"/>
      <c r="W292" s="483"/>
      <c r="X292" s="483"/>
      <c r="Y292" s="483"/>
      <c r="Z292" s="483"/>
      <c r="AA292" s="483"/>
      <c r="AB292" s="160"/>
      <c r="AC292" s="160"/>
      <c r="AD292" s="161"/>
      <c r="AE292" s="161"/>
      <c r="AF292" s="161"/>
    </row>
    <row r="293" spans="1:32" ht="30.75" customHeight="1">
      <c r="A293" s="141">
        <v>11302</v>
      </c>
      <c r="B293" s="133" t="s">
        <v>284</v>
      </c>
      <c r="C293" s="496"/>
      <c r="D293" s="497"/>
      <c r="E293" s="497"/>
      <c r="F293" s="498"/>
      <c r="G293" s="496"/>
      <c r="H293" s="497"/>
      <c r="I293" s="497"/>
      <c r="J293" s="498"/>
      <c r="K293" s="505">
        <f>IF(C293&gt;G293,C293-G293,0)</f>
        <v>0</v>
      </c>
      <c r="L293" s="503"/>
      <c r="M293" s="503"/>
      <c r="N293" s="504"/>
      <c r="O293" s="502">
        <f>IF(G293&gt;C293,G293-C293,0)</f>
        <v>0</v>
      </c>
      <c r="P293" s="503"/>
      <c r="Q293" s="503"/>
      <c r="R293" s="504"/>
      <c r="S293" s="32"/>
      <c r="T293" s="483" t="str">
        <f>IF(G293-C293+G295-C295=K292+K294+K296+K297+K298+K299+K300," ","مغایرت سپرده های دریافتی و تنخواه گردان رد وجوه سپرده با بانک دریافت وجوه سپرده ، خزانه تمرکز سپرده ، بانک رد و...")</f>
        <v xml:space="preserve"> </v>
      </c>
      <c r="U293" s="483"/>
      <c r="V293" s="483"/>
      <c r="W293" s="483"/>
      <c r="X293" s="483"/>
      <c r="Y293" s="483"/>
      <c r="Z293" s="483"/>
      <c r="AA293" s="483"/>
      <c r="AB293" s="483"/>
      <c r="AC293" s="483"/>
      <c r="AD293" s="483"/>
      <c r="AE293" s="483"/>
      <c r="AF293" s="161"/>
    </row>
    <row r="294" spans="1:32" ht="30.75" customHeight="1">
      <c r="A294" s="141">
        <v>11303</v>
      </c>
      <c r="B294" s="133" t="s">
        <v>285</v>
      </c>
      <c r="C294" s="496"/>
      <c r="D294" s="497"/>
      <c r="E294" s="497"/>
      <c r="F294" s="498"/>
      <c r="G294" s="496"/>
      <c r="H294" s="497"/>
      <c r="I294" s="497"/>
      <c r="J294" s="498"/>
      <c r="K294" s="505">
        <f t="shared" ref="K294:K300" si="24">IF(C294&gt;G294,C294-G294,0)</f>
        <v>0</v>
      </c>
      <c r="L294" s="503"/>
      <c r="M294" s="503"/>
      <c r="N294" s="504"/>
      <c r="O294" s="502">
        <f t="shared" ref="O294:O300" si="25">IF(G294&gt;C294,G294-C294,0)</f>
        <v>0</v>
      </c>
      <c r="P294" s="503"/>
      <c r="Q294" s="503"/>
      <c r="R294" s="504"/>
      <c r="S294" s="32"/>
      <c r="T294" s="483"/>
      <c r="U294" s="483"/>
      <c r="V294" s="483"/>
      <c r="W294" s="483"/>
      <c r="X294" s="483"/>
      <c r="Y294" s="483"/>
      <c r="Z294" s="483"/>
      <c r="AA294" s="483"/>
      <c r="AB294" s="160"/>
      <c r="AC294" s="160"/>
      <c r="AD294" s="161"/>
      <c r="AE294" s="161"/>
      <c r="AF294" s="161"/>
    </row>
    <row r="295" spans="1:32" ht="30.75" customHeight="1">
      <c r="A295" s="141">
        <v>11304</v>
      </c>
      <c r="B295" s="133" t="s">
        <v>286</v>
      </c>
      <c r="C295" s="496"/>
      <c r="D295" s="497"/>
      <c r="E295" s="497"/>
      <c r="F295" s="498"/>
      <c r="G295" s="496"/>
      <c r="H295" s="497"/>
      <c r="I295" s="497"/>
      <c r="J295" s="498"/>
      <c r="K295" s="505">
        <f t="shared" si="24"/>
        <v>0</v>
      </c>
      <c r="L295" s="503"/>
      <c r="M295" s="503"/>
      <c r="N295" s="504"/>
      <c r="O295" s="502">
        <f t="shared" si="25"/>
        <v>0</v>
      </c>
      <c r="P295" s="503"/>
      <c r="Q295" s="503"/>
      <c r="R295" s="504"/>
      <c r="S295" s="32"/>
      <c r="T295" s="483"/>
      <c r="U295" s="483"/>
      <c r="V295" s="483"/>
      <c r="W295" s="483"/>
      <c r="X295" s="483"/>
      <c r="Y295" s="483"/>
      <c r="Z295" s="483"/>
      <c r="AA295" s="483"/>
      <c r="AB295" s="160"/>
      <c r="AC295" s="160"/>
      <c r="AD295" s="161"/>
      <c r="AE295" s="161"/>
      <c r="AF295" s="161"/>
    </row>
    <row r="296" spans="1:32" ht="30.75" customHeight="1">
      <c r="A296" s="141">
        <v>11305</v>
      </c>
      <c r="B296" s="133" t="s">
        <v>287</v>
      </c>
      <c r="C296" s="496"/>
      <c r="D296" s="497"/>
      <c r="E296" s="497"/>
      <c r="F296" s="498"/>
      <c r="G296" s="496"/>
      <c r="H296" s="497"/>
      <c r="I296" s="497"/>
      <c r="J296" s="498"/>
      <c r="K296" s="505">
        <f t="shared" si="24"/>
        <v>0</v>
      </c>
      <c r="L296" s="503"/>
      <c r="M296" s="503"/>
      <c r="N296" s="504"/>
      <c r="O296" s="502">
        <f t="shared" si="25"/>
        <v>0</v>
      </c>
      <c r="P296" s="503"/>
      <c r="Q296" s="503"/>
      <c r="R296" s="504"/>
      <c r="S296" s="32"/>
      <c r="T296" s="483"/>
      <c r="U296" s="483"/>
      <c r="V296" s="483"/>
      <c r="W296" s="483"/>
      <c r="X296" s="483"/>
      <c r="Y296" s="483"/>
      <c r="Z296" s="483"/>
      <c r="AA296" s="483"/>
      <c r="AB296" s="160"/>
      <c r="AC296" s="160"/>
      <c r="AD296" s="161"/>
      <c r="AE296" s="161"/>
      <c r="AF296" s="161"/>
    </row>
    <row r="297" spans="1:32" ht="30.75" customHeight="1">
      <c r="A297" s="141">
        <v>11306</v>
      </c>
      <c r="B297" s="133" t="s">
        <v>288</v>
      </c>
      <c r="C297" s="496"/>
      <c r="D297" s="497"/>
      <c r="E297" s="497"/>
      <c r="F297" s="498"/>
      <c r="G297" s="496"/>
      <c r="H297" s="497"/>
      <c r="I297" s="497"/>
      <c r="J297" s="498"/>
      <c r="K297" s="505">
        <f t="shared" si="24"/>
        <v>0</v>
      </c>
      <c r="L297" s="503"/>
      <c r="M297" s="503"/>
      <c r="N297" s="504"/>
      <c r="O297" s="502">
        <f t="shared" si="25"/>
        <v>0</v>
      </c>
      <c r="P297" s="503"/>
      <c r="Q297" s="503"/>
      <c r="R297" s="504"/>
      <c r="S297" s="32"/>
      <c r="T297" s="483"/>
      <c r="U297" s="483"/>
      <c r="V297" s="483"/>
      <c r="W297" s="483"/>
      <c r="X297" s="483"/>
      <c r="Y297" s="483"/>
      <c r="Z297" s="483"/>
      <c r="AA297" s="483"/>
      <c r="AB297" s="160"/>
      <c r="AC297" s="160"/>
      <c r="AD297" s="161"/>
      <c r="AE297" s="161"/>
      <c r="AF297" s="161"/>
    </row>
    <row r="298" spans="1:32" ht="30.75" customHeight="1">
      <c r="A298" s="141">
        <v>11307</v>
      </c>
      <c r="B298" s="133" t="s">
        <v>513</v>
      </c>
      <c r="C298" s="496"/>
      <c r="D298" s="497"/>
      <c r="E298" s="497"/>
      <c r="F298" s="498"/>
      <c r="G298" s="496"/>
      <c r="H298" s="497"/>
      <c r="I298" s="497"/>
      <c r="J298" s="498"/>
      <c r="K298" s="505">
        <f t="shared" si="24"/>
        <v>0</v>
      </c>
      <c r="L298" s="503"/>
      <c r="M298" s="503"/>
      <c r="N298" s="504"/>
      <c r="O298" s="502">
        <f t="shared" si="25"/>
        <v>0</v>
      </c>
      <c r="P298" s="503"/>
      <c r="Q298" s="503"/>
      <c r="R298" s="504"/>
      <c r="S298" s="32"/>
      <c r="T298" s="483"/>
      <c r="U298" s="483"/>
      <c r="V298" s="483"/>
      <c r="W298" s="483"/>
      <c r="X298" s="483"/>
      <c r="Y298" s="483"/>
      <c r="Z298" s="483"/>
      <c r="AA298" s="483"/>
      <c r="AB298" s="160"/>
      <c r="AC298" s="160"/>
      <c r="AD298" s="161"/>
      <c r="AE298" s="161"/>
      <c r="AF298" s="161"/>
    </row>
    <row r="299" spans="1:32" ht="30.75" customHeight="1">
      <c r="A299" s="141">
        <v>11308</v>
      </c>
      <c r="B299" s="133" t="s">
        <v>514</v>
      </c>
      <c r="C299" s="496"/>
      <c r="D299" s="497"/>
      <c r="E299" s="497"/>
      <c r="F299" s="498"/>
      <c r="G299" s="496"/>
      <c r="H299" s="497"/>
      <c r="I299" s="497"/>
      <c r="J299" s="498"/>
      <c r="K299" s="505">
        <f t="shared" si="24"/>
        <v>0</v>
      </c>
      <c r="L299" s="503"/>
      <c r="M299" s="503"/>
      <c r="N299" s="504"/>
      <c r="O299" s="502">
        <f t="shared" si="25"/>
        <v>0</v>
      </c>
      <c r="P299" s="503"/>
      <c r="Q299" s="503"/>
      <c r="R299" s="504"/>
      <c r="S299" s="32"/>
      <c r="T299" s="483"/>
      <c r="U299" s="483"/>
      <c r="V299" s="483"/>
      <c r="W299" s="483"/>
      <c r="X299" s="483"/>
      <c r="Y299" s="483"/>
      <c r="Z299" s="483"/>
      <c r="AA299" s="483"/>
      <c r="AB299" s="160"/>
      <c r="AC299" s="160"/>
      <c r="AD299" s="161"/>
      <c r="AE299" s="161"/>
      <c r="AF299" s="161"/>
    </row>
    <row r="300" spans="1:32" ht="30.75" customHeight="1" thickBot="1">
      <c r="A300" s="142">
        <v>11309</v>
      </c>
      <c r="B300" s="134" t="s">
        <v>515</v>
      </c>
      <c r="C300" s="524"/>
      <c r="D300" s="525"/>
      <c r="E300" s="525"/>
      <c r="F300" s="526"/>
      <c r="G300" s="524"/>
      <c r="H300" s="525"/>
      <c r="I300" s="525"/>
      <c r="J300" s="552"/>
      <c r="K300" s="548">
        <f t="shared" si="24"/>
        <v>0</v>
      </c>
      <c r="L300" s="549"/>
      <c r="M300" s="549"/>
      <c r="N300" s="550"/>
      <c r="O300" s="551">
        <f t="shared" si="25"/>
        <v>0</v>
      </c>
      <c r="P300" s="549"/>
      <c r="Q300" s="549"/>
      <c r="R300" s="550"/>
      <c r="S300" s="32"/>
      <c r="T300" s="483"/>
      <c r="U300" s="483"/>
      <c r="V300" s="483"/>
      <c r="W300" s="483"/>
      <c r="X300" s="483"/>
      <c r="Y300" s="483"/>
      <c r="Z300" s="483"/>
      <c r="AA300" s="483"/>
      <c r="AB300" s="160"/>
      <c r="AC300" s="160"/>
      <c r="AD300" s="161"/>
      <c r="AE300" s="161"/>
      <c r="AF300" s="161"/>
    </row>
    <row r="301" spans="1:32" ht="30.75" customHeight="1" thickBot="1">
      <c r="A301" s="531" t="s">
        <v>127</v>
      </c>
      <c r="B301" s="535"/>
      <c r="C301" s="521">
        <f>SUM(C292:F300)</f>
        <v>0</v>
      </c>
      <c r="D301" s="522"/>
      <c r="E301" s="522"/>
      <c r="F301" s="523"/>
      <c r="G301" s="559">
        <f>SUM(G292:J300)</f>
        <v>0</v>
      </c>
      <c r="H301" s="557"/>
      <c r="I301" s="557"/>
      <c r="J301" s="560"/>
      <c r="K301" s="522">
        <f>SUM(K292:N300)</f>
        <v>0</v>
      </c>
      <c r="L301" s="522"/>
      <c r="M301" s="522"/>
      <c r="N301" s="523"/>
      <c r="O301" s="521">
        <f>SUM(O292:R300)</f>
        <v>0</v>
      </c>
      <c r="P301" s="522"/>
      <c r="Q301" s="522"/>
      <c r="R301" s="523"/>
      <c r="S301" s="32"/>
      <c r="T301" s="481" t="str">
        <f>IF(K301=O301," "," مغایرت جمع مانده بدهکار با جمع مانده بستانکار")</f>
        <v xml:space="preserve"> </v>
      </c>
      <c r="U301" s="481"/>
      <c r="V301" s="481"/>
      <c r="W301" s="481"/>
      <c r="X301" s="481"/>
      <c r="Y301" s="481"/>
      <c r="Z301" s="481"/>
      <c r="AA301" s="481"/>
      <c r="AB301" s="160"/>
      <c r="AC301" s="160"/>
      <c r="AD301" s="161"/>
      <c r="AE301" s="161"/>
      <c r="AF301" s="161"/>
    </row>
    <row r="302" spans="1:32" s="2" customFormat="1" ht="28.5" thickBot="1">
      <c r="A302" s="140">
        <v>114</v>
      </c>
      <c r="B302" s="30"/>
      <c r="C302" s="499" t="s">
        <v>531</v>
      </c>
      <c r="D302" s="500"/>
      <c r="E302" s="500"/>
      <c r="F302" s="500"/>
      <c r="G302" s="500"/>
      <c r="H302" s="500"/>
      <c r="I302" s="500"/>
      <c r="J302" s="500"/>
      <c r="K302" s="500"/>
      <c r="L302" s="500"/>
      <c r="M302" s="500"/>
      <c r="N302" s="500"/>
      <c r="O302" s="500"/>
      <c r="P302" s="500"/>
      <c r="Q302" s="500"/>
      <c r="R302" s="501"/>
      <c r="S302" s="33"/>
      <c r="T302" s="483"/>
      <c r="U302" s="483"/>
      <c r="V302" s="483"/>
      <c r="W302" s="483"/>
      <c r="X302" s="483"/>
      <c r="Y302" s="483"/>
      <c r="Z302" s="483"/>
      <c r="AA302" s="483"/>
      <c r="AB302" s="96"/>
      <c r="AC302" s="96"/>
    </row>
    <row r="303" spans="1:32" ht="30.75" customHeight="1">
      <c r="A303" s="143">
        <v>11401</v>
      </c>
      <c r="B303" s="133" t="s">
        <v>289</v>
      </c>
      <c r="C303" s="496"/>
      <c r="D303" s="497"/>
      <c r="E303" s="497"/>
      <c r="F303" s="498"/>
      <c r="G303" s="496"/>
      <c r="H303" s="497"/>
      <c r="I303" s="497"/>
      <c r="J303" s="498"/>
      <c r="K303" s="505">
        <f t="shared" ref="K303:K308" si="26">IF(C303&gt;G303,C303-G303,0)</f>
        <v>0</v>
      </c>
      <c r="L303" s="503"/>
      <c r="M303" s="503"/>
      <c r="N303" s="504"/>
      <c r="O303" s="502">
        <f t="shared" ref="O303:O308" si="27">IF(G303&gt;C303,G303-C303,0)</f>
        <v>0</v>
      </c>
      <c r="P303" s="503"/>
      <c r="Q303" s="503"/>
      <c r="R303" s="504"/>
      <c r="S303" s="32"/>
      <c r="T303" s="483"/>
      <c r="U303" s="483"/>
      <c r="V303" s="483"/>
      <c r="W303" s="483"/>
      <c r="X303" s="483"/>
      <c r="Y303" s="483"/>
      <c r="Z303" s="483"/>
      <c r="AA303" s="483"/>
      <c r="AB303" s="160"/>
      <c r="AC303" s="160"/>
      <c r="AD303" s="161"/>
      <c r="AE303" s="161"/>
      <c r="AF303" s="161"/>
    </row>
    <row r="304" spans="1:32" ht="30.75" customHeight="1">
      <c r="A304" s="141">
        <v>11402</v>
      </c>
      <c r="B304" s="133" t="s">
        <v>290</v>
      </c>
      <c r="C304" s="496"/>
      <c r="D304" s="497"/>
      <c r="E304" s="497"/>
      <c r="F304" s="498"/>
      <c r="G304" s="496"/>
      <c r="H304" s="497"/>
      <c r="I304" s="497"/>
      <c r="J304" s="498"/>
      <c r="K304" s="505">
        <f t="shared" si="26"/>
        <v>0</v>
      </c>
      <c r="L304" s="503"/>
      <c r="M304" s="503"/>
      <c r="N304" s="504"/>
      <c r="O304" s="502">
        <f t="shared" si="27"/>
        <v>0</v>
      </c>
      <c r="P304" s="503"/>
      <c r="Q304" s="503"/>
      <c r="R304" s="504"/>
      <c r="S304" s="32"/>
      <c r="T304" s="482" t="str">
        <f>IF(O304+O303=K305+K306+K307+K308," ","مغایرت دریافتی بابت بازنشستگان وتنخواه گردان حسابداری بازنشستگان با بانک پرداخت،پراخت حقوق بازنشستگان،علی الحساب و تنخواه گردان پرداخت بازنشستگان")</f>
        <v xml:space="preserve"> </v>
      </c>
      <c r="U304" s="482"/>
      <c r="V304" s="482"/>
      <c r="W304" s="482"/>
      <c r="X304" s="482"/>
      <c r="Y304" s="482"/>
      <c r="Z304" s="482"/>
      <c r="AA304" s="482"/>
      <c r="AB304" s="482"/>
      <c r="AC304" s="482"/>
      <c r="AD304" s="482"/>
      <c r="AE304" s="161"/>
      <c r="AF304" s="161"/>
    </row>
    <row r="305" spans="1:32" ht="30.75" customHeight="1">
      <c r="A305" s="141">
        <v>11403</v>
      </c>
      <c r="B305" s="133" t="s">
        <v>291</v>
      </c>
      <c r="C305" s="496"/>
      <c r="D305" s="497"/>
      <c r="E305" s="497"/>
      <c r="F305" s="498"/>
      <c r="G305" s="496"/>
      <c r="H305" s="497"/>
      <c r="I305" s="497"/>
      <c r="J305" s="498"/>
      <c r="K305" s="505">
        <f t="shared" si="26"/>
        <v>0</v>
      </c>
      <c r="L305" s="503"/>
      <c r="M305" s="503"/>
      <c r="N305" s="504"/>
      <c r="O305" s="502">
        <f t="shared" si="27"/>
        <v>0</v>
      </c>
      <c r="P305" s="503"/>
      <c r="Q305" s="503"/>
      <c r="R305" s="504"/>
      <c r="S305" s="32"/>
      <c r="T305" s="483"/>
      <c r="U305" s="483"/>
      <c r="V305" s="483"/>
      <c r="W305" s="483"/>
      <c r="X305" s="483"/>
      <c r="Y305" s="483"/>
      <c r="Z305" s="483"/>
      <c r="AA305" s="483"/>
      <c r="AB305" s="160"/>
      <c r="AC305" s="160"/>
      <c r="AD305" s="161"/>
      <c r="AE305" s="161"/>
      <c r="AF305" s="161"/>
    </row>
    <row r="306" spans="1:32" ht="30.75" customHeight="1">
      <c r="A306" s="141">
        <v>11404</v>
      </c>
      <c r="B306" s="133" t="s">
        <v>292</v>
      </c>
      <c r="C306" s="496"/>
      <c r="D306" s="497"/>
      <c r="E306" s="497"/>
      <c r="F306" s="498"/>
      <c r="G306" s="496"/>
      <c r="H306" s="497"/>
      <c r="I306" s="497"/>
      <c r="J306" s="498"/>
      <c r="K306" s="505">
        <f t="shared" si="26"/>
        <v>0</v>
      </c>
      <c r="L306" s="503"/>
      <c r="M306" s="503"/>
      <c r="N306" s="504"/>
      <c r="O306" s="502">
        <f t="shared" si="27"/>
        <v>0</v>
      </c>
      <c r="P306" s="503"/>
      <c r="Q306" s="503"/>
      <c r="R306" s="504"/>
      <c r="S306" s="32"/>
      <c r="T306" s="483"/>
      <c r="U306" s="483"/>
      <c r="V306" s="483"/>
      <c r="W306" s="483"/>
      <c r="X306" s="483"/>
      <c r="Y306" s="483"/>
      <c r="Z306" s="483"/>
      <c r="AA306" s="483"/>
      <c r="AB306" s="160"/>
      <c r="AC306" s="160"/>
      <c r="AD306" s="161"/>
      <c r="AE306" s="161"/>
      <c r="AF306" s="161"/>
    </row>
    <row r="307" spans="1:32" ht="30.75" customHeight="1">
      <c r="A307" s="141">
        <v>11405</v>
      </c>
      <c r="B307" s="133" t="s">
        <v>293</v>
      </c>
      <c r="C307" s="496"/>
      <c r="D307" s="497"/>
      <c r="E307" s="497"/>
      <c r="F307" s="498"/>
      <c r="G307" s="496"/>
      <c r="H307" s="497"/>
      <c r="I307" s="497"/>
      <c r="J307" s="498"/>
      <c r="K307" s="505">
        <f t="shared" si="26"/>
        <v>0</v>
      </c>
      <c r="L307" s="503"/>
      <c r="M307" s="503"/>
      <c r="N307" s="504"/>
      <c r="O307" s="502">
        <f t="shared" si="27"/>
        <v>0</v>
      </c>
      <c r="P307" s="503"/>
      <c r="Q307" s="503"/>
      <c r="R307" s="504"/>
      <c r="S307" s="32"/>
      <c r="T307" s="483"/>
      <c r="U307" s="483"/>
      <c r="V307" s="483"/>
      <c r="W307" s="483"/>
      <c r="X307" s="483"/>
      <c r="Y307" s="483"/>
      <c r="Z307" s="483"/>
      <c r="AA307" s="483"/>
      <c r="AB307" s="160"/>
      <c r="AC307" s="160"/>
      <c r="AD307" s="161"/>
      <c r="AE307" s="161"/>
      <c r="AF307" s="161"/>
    </row>
    <row r="308" spans="1:32" ht="30.75" customHeight="1" thickBot="1">
      <c r="A308" s="142">
        <v>11406</v>
      </c>
      <c r="B308" s="134" t="s">
        <v>294</v>
      </c>
      <c r="C308" s="496"/>
      <c r="D308" s="497"/>
      <c r="E308" s="497"/>
      <c r="F308" s="498"/>
      <c r="G308" s="496"/>
      <c r="H308" s="497"/>
      <c r="I308" s="497"/>
      <c r="J308" s="498"/>
      <c r="K308" s="548">
        <f t="shared" si="26"/>
        <v>0</v>
      </c>
      <c r="L308" s="549"/>
      <c r="M308" s="549"/>
      <c r="N308" s="550"/>
      <c r="O308" s="551">
        <f t="shared" si="27"/>
        <v>0</v>
      </c>
      <c r="P308" s="549"/>
      <c r="Q308" s="549"/>
      <c r="R308" s="550"/>
      <c r="S308" s="32"/>
      <c r="T308" s="483"/>
      <c r="U308" s="483"/>
      <c r="V308" s="483"/>
      <c r="W308" s="483"/>
      <c r="X308" s="483"/>
      <c r="Y308" s="483"/>
      <c r="Z308" s="483"/>
      <c r="AA308" s="483"/>
      <c r="AB308" s="160"/>
      <c r="AC308" s="160"/>
      <c r="AD308" s="161"/>
      <c r="AE308" s="161"/>
      <c r="AF308" s="161"/>
    </row>
    <row r="309" spans="1:32" ht="30.75" customHeight="1" thickBot="1">
      <c r="A309" s="531" t="s">
        <v>127</v>
      </c>
      <c r="B309" s="535"/>
      <c r="C309" s="521">
        <f>SUM(C303:F308)</f>
        <v>0</v>
      </c>
      <c r="D309" s="522"/>
      <c r="E309" s="522"/>
      <c r="F309" s="523"/>
      <c r="G309" s="559">
        <f>SUM(G303:J308)</f>
        <v>0</v>
      </c>
      <c r="H309" s="557"/>
      <c r="I309" s="557"/>
      <c r="J309" s="560"/>
      <c r="K309" s="522">
        <f>SUM(K303:N308)</f>
        <v>0</v>
      </c>
      <c r="L309" s="522"/>
      <c r="M309" s="522"/>
      <c r="N309" s="523"/>
      <c r="O309" s="521">
        <f>SUM(O303:R308)</f>
        <v>0</v>
      </c>
      <c r="P309" s="522"/>
      <c r="Q309" s="522"/>
      <c r="R309" s="523"/>
      <c r="S309" s="32"/>
      <c r="T309" s="481" t="str">
        <f>IF(K309=O309," "," مغایرت جمع مانده بدهکار با جمع مانده بستانکار")</f>
        <v xml:space="preserve"> </v>
      </c>
      <c r="U309" s="481"/>
      <c r="V309" s="481"/>
      <c r="W309" s="481"/>
      <c r="X309" s="481"/>
      <c r="Y309" s="481"/>
      <c r="Z309" s="481"/>
      <c r="AA309" s="481"/>
      <c r="AB309" s="160"/>
      <c r="AC309" s="160"/>
      <c r="AD309" s="161"/>
      <c r="AE309" s="161"/>
      <c r="AF309" s="161"/>
    </row>
    <row r="310" spans="1:32" s="2" customFormat="1" ht="28.5" thickBot="1">
      <c r="A310" s="140">
        <v>115</v>
      </c>
      <c r="B310" s="30"/>
      <c r="C310" s="499" t="s">
        <v>532</v>
      </c>
      <c r="D310" s="500"/>
      <c r="E310" s="500"/>
      <c r="F310" s="500"/>
      <c r="G310" s="500"/>
      <c r="H310" s="500"/>
      <c r="I310" s="500"/>
      <c r="J310" s="500"/>
      <c r="K310" s="500"/>
      <c r="L310" s="500"/>
      <c r="M310" s="500"/>
      <c r="N310" s="500"/>
      <c r="O310" s="500"/>
      <c r="P310" s="500"/>
      <c r="Q310" s="500"/>
      <c r="R310" s="501"/>
      <c r="S310" s="33"/>
      <c r="T310" s="483"/>
      <c r="U310" s="483"/>
      <c r="V310" s="483"/>
      <c r="W310" s="483"/>
      <c r="X310" s="483"/>
      <c r="Y310" s="483"/>
      <c r="Z310" s="483"/>
      <c r="AA310" s="483"/>
      <c r="AB310" s="96"/>
      <c r="AC310" s="96"/>
    </row>
    <row r="311" spans="1:32" ht="30.75" customHeight="1">
      <c r="A311" s="143">
        <v>11501</v>
      </c>
      <c r="B311" s="133" t="s">
        <v>295</v>
      </c>
      <c r="C311" s="496"/>
      <c r="D311" s="497"/>
      <c r="E311" s="497"/>
      <c r="F311" s="498"/>
      <c r="G311" s="496"/>
      <c r="H311" s="497"/>
      <c r="I311" s="497"/>
      <c r="J311" s="498"/>
      <c r="K311" s="505">
        <f>IF(C311&gt;G311,C311-G311,0)</f>
        <v>0</v>
      </c>
      <c r="L311" s="503"/>
      <c r="M311" s="503"/>
      <c r="N311" s="504"/>
      <c r="O311" s="502">
        <f>IF(G311&gt;C311,G311-C311,0)</f>
        <v>0</v>
      </c>
      <c r="P311" s="503"/>
      <c r="Q311" s="503"/>
      <c r="R311" s="504"/>
      <c r="S311" s="32"/>
      <c r="T311" s="483"/>
      <c r="U311" s="483"/>
      <c r="V311" s="483"/>
      <c r="W311" s="483"/>
      <c r="X311" s="483"/>
      <c r="Y311" s="483"/>
      <c r="Z311" s="483"/>
      <c r="AA311" s="483"/>
      <c r="AB311" s="160"/>
      <c r="AC311" s="160"/>
      <c r="AD311" s="161"/>
      <c r="AE311" s="161"/>
      <c r="AF311" s="161"/>
    </row>
    <row r="312" spans="1:32" ht="30.75" customHeight="1">
      <c r="A312" s="141">
        <v>11502</v>
      </c>
      <c r="B312" s="133" t="s">
        <v>296</v>
      </c>
      <c r="C312" s="496"/>
      <c r="D312" s="497"/>
      <c r="E312" s="497"/>
      <c r="F312" s="498"/>
      <c r="G312" s="496"/>
      <c r="H312" s="497"/>
      <c r="I312" s="497"/>
      <c r="J312" s="498"/>
      <c r="K312" s="505">
        <f>IF(C312&gt;G312,C312-G312,0)</f>
        <v>0</v>
      </c>
      <c r="L312" s="503"/>
      <c r="M312" s="503"/>
      <c r="N312" s="504"/>
      <c r="O312" s="502">
        <f>IF(G312&gt;C312,G312-C312,0)</f>
        <v>0</v>
      </c>
      <c r="P312" s="503"/>
      <c r="Q312" s="503"/>
      <c r="R312" s="504"/>
      <c r="S312" s="32"/>
      <c r="T312" s="483"/>
      <c r="U312" s="483"/>
      <c r="V312" s="483"/>
      <c r="W312" s="483"/>
      <c r="X312" s="483"/>
      <c r="Y312" s="483"/>
      <c r="Z312" s="483"/>
      <c r="AA312" s="483"/>
      <c r="AB312" s="160"/>
      <c r="AC312" s="160"/>
      <c r="AD312" s="161"/>
      <c r="AE312" s="161"/>
      <c r="AF312" s="161"/>
    </row>
    <row r="313" spans="1:32" ht="30.75" customHeight="1" thickBot="1">
      <c r="A313" s="142">
        <v>11503</v>
      </c>
      <c r="B313" s="134" t="s">
        <v>297</v>
      </c>
      <c r="C313" s="553"/>
      <c r="D313" s="554"/>
      <c r="E313" s="554"/>
      <c r="F313" s="555"/>
      <c r="G313" s="496"/>
      <c r="H313" s="497"/>
      <c r="I313" s="497"/>
      <c r="J313" s="498"/>
      <c r="K313" s="548">
        <f>IF(C313&gt;G313,C313-G313,0)</f>
        <v>0</v>
      </c>
      <c r="L313" s="549"/>
      <c r="M313" s="549"/>
      <c r="N313" s="550"/>
      <c r="O313" s="551">
        <f>IF(G313&gt;C313,G313-C313,0)</f>
        <v>0</v>
      </c>
      <c r="P313" s="549"/>
      <c r="Q313" s="549"/>
      <c r="R313" s="550"/>
      <c r="S313" s="32"/>
      <c r="T313" s="483"/>
      <c r="U313" s="483"/>
      <c r="V313" s="483"/>
      <c r="W313" s="483"/>
      <c r="X313" s="483"/>
      <c r="Y313" s="483"/>
      <c r="Z313" s="483"/>
      <c r="AA313" s="483"/>
      <c r="AB313" s="160"/>
      <c r="AC313" s="160"/>
      <c r="AD313" s="161"/>
      <c r="AE313" s="161"/>
      <c r="AF313" s="161"/>
    </row>
    <row r="314" spans="1:32" ht="30.75" customHeight="1" thickBot="1">
      <c r="A314" s="529" t="s">
        <v>127</v>
      </c>
      <c r="B314" s="530"/>
      <c r="C314" s="516">
        <f>SUM(C311:F313)</f>
        <v>0</v>
      </c>
      <c r="D314" s="517"/>
      <c r="E314" s="517"/>
      <c r="F314" s="518"/>
      <c r="G314" s="516">
        <f>SUM(G311:J313)</f>
        <v>0</v>
      </c>
      <c r="H314" s="517"/>
      <c r="I314" s="517"/>
      <c r="J314" s="519"/>
      <c r="K314" s="522">
        <f>SUM(K311:N313)</f>
        <v>0</v>
      </c>
      <c r="L314" s="522"/>
      <c r="M314" s="522"/>
      <c r="N314" s="523"/>
      <c r="O314" s="521">
        <f>SUM(O311:R313)</f>
        <v>0</v>
      </c>
      <c r="P314" s="522"/>
      <c r="Q314" s="522"/>
      <c r="R314" s="523"/>
      <c r="S314" s="32"/>
      <c r="T314" s="481" t="str">
        <f>IF(K314=O314," "," مغایرت جمع مانده بدهکار با جمع مانده بستانکار")</f>
        <v xml:space="preserve"> </v>
      </c>
      <c r="U314" s="481"/>
      <c r="V314" s="481"/>
      <c r="W314" s="481"/>
      <c r="X314" s="481"/>
      <c r="Y314" s="481"/>
      <c r="Z314" s="481"/>
      <c r="AA314" s="481"/>
      <c r="AB314" s="160"/>
      <c r="AC314" s="160"/>
      <c r="AD314" s="161"/>
      <c r="AE314" s="161"/>
      <c r="AF314" s="161"/>
    </row>
    <row r="315" spans="1:32" s="2" customFormat="1" ht="28.5" thickBot="1">
      <c r="A315" s="140">
        <v>116</v>
      </c>
      <c r="B315" s="30"/>
      <c r="C315" s="499" t="s">
        <v>533</v>
      </c>
      <c r="D315" s="500"/>
      <c r="E315" s="500"/>
      <c r="F315" s="500"/>
      <c r="G315" s="500"/>
      <c r="H315" s="500"/>
      <c r="I315" s="500"/>
      <c r="J315" s="500"/>
      <c r="K315" s="500"/>
      <c r="L315" s="500"/>
      <c r="M315" s="500"/>
      <c r="N315" s="500"/>
      <c r="O315" s="500"/>
      <c r="P315" s="500"/>
      <c r="Q315" s="500"/>
      <c r="R315" s="501"/>
      <c r="S315" s="33"/>
      <c r="T315" s="483"/>
      <c r="U315" s="483"/>
      <c r="V315" s="483"/>
      <c r="W315" s="483"/>
      <c r="X315" s="483"/>
      <c r="Y315" s="483"/>
      <c r="Z315" s="483"/>
      <c r="AA315" s="483"/>
      <c r="AB315" s="96"/>
      <c r="AC315" s="96"/>
    </row>
    <row r="316" spans="1:32" ht="30.75" customHeight="1">
      <c r="A316" s="143">
        <v>11601</v>
      </c>
      <c r="B316" s="133" t="s">
        <v>298</v>
      </c>
      <c r="C316" s="496"/>
      <c r="D316" s="497"/>
      <c r="E316" s="497"/>
      <c r="F316" s="498"/>
      <c r="G316" s="496"/>
      <c r="H316" s="497"/>
      <c r="I316" s="497"/>
      <c r="J316" s="498"/>
      <c r="K316" s="505">
        <f>IF(C316&gt;G316,C316-G316,0)</f>
        <v>0</v>
      </c>
      <c r="L316" s="503"/>
      <c r="M316" s="503"/>
      <c r="N316" s="504"/>
      <c r="O316" s="502">
        <f>IF(G316&gt;C316,G316-C316,0)</f>
        <v>0</v>
      </c>
      <c r="P316" s="503"/>
      <c r="Q316" s="503"/>
      <c r="R316" s="504"/>
      <c r="S316" s="32"/>
      <c r="T316" s="483" t="str">
        <f>IF(G316-C316=K317+K318+K319+K320+K321+K322," ","مغایرت دریافتی بابت سایر منابع با بانک پرداخت ، پرداخت ،پیش پرداخت ، علی الحساب و... سایر منابع")</f>
        <v xml:space="preserve"> </v>
      </c>
      <c r="U316" s="483"/>
      <c r="V316" s="483"/>
      <c r="W316" s="483"/>
      <c r="X316" s="483"/>
      <c r="Y316" s="483"/>
      <c r="Z316" s="483"/>
      <c r="AA316" s="483"/>
      <c r="AB316" s="160"/>
      <c r="AC316" s="160"/>
      <c r="AD316" s="161"/>
      <c r="AE316" s="161"/>
      <c r="AF316" s="161"/>
    </row>
    <row r="317" spans="1:32" ht="30.75" customHeight="1">
      <c r="A317" s="141">
        <v>11602</v>
      </c>
      <c r="B317" s="133" t="s">
        <v>299</v>
      </c>
      <c r="C317" s="496"/>
      <c r="D317" s="497"/>
      <c r="E317" s="497"/>
      <c r="F317" s="498"/>
      <c r="G317" s="496"/>
      <c r="H317" s="497"/>
      <c r="I317" s="497"/>
      <c r="J317" s="498"/>
      <c r="K317" s="505">
        <f>IF(C317&gt;G317,C317-G317,0)</f>
        <v>0</v>
      </c>
      <c r="L317" s="503"/>
      <c r="M317" s="503"/>
      <c r="N317" s="504"/>
      <c r="O317" s="502">
        <f>IF(G317&gt;C317,G317-C317,0)</f>
        <v>0</v>
      </c>
      <c r="P317" s="503"/>
      <c r="Q317" s="503"/>
      <c r="R317" s="504"/>
      <c r="S317" s="32"/>
      <c r="T317" s="483"/>
      <c r="U317" s="483"/>
      <c r="V317" s="483"/>
      <c r="W317" s="483"/>
      <c r="X317" s="483"/>
      <c r="Y317" s="483"/>
      <c r="Z317" s="483"/>
      <c r="AA317" s="483"/>
      <c r="AB317" s="160"/>
      <c r="AC317" s="160"/>
      <c r="AD317" s="161"/>
      <c r="AE317" s="161"/>
      <c r="AF317" s="161"/>
    </row>
    <row r="318" spans="1:32" ht="30.75" customHeight="1">
      <c r="A318" s="141">
        <v>11603</v>
      </c>
      <c r="B318" s="133" t="s">
        <v>300</v>
      </c>
      <c r="C318" s="496"/>
      <c r="D318" s="497"/>
      <c r="E318" s="497"/>
      <c r="F318" s="498"/>
      <c r="G318" s="496"/>
      <c r="H318" s="497"/>
      <c r="I318" s="497"/>
      <c r="J318" s="498"/>
      <c r="K318" s="505">
        <f t="shared" ref="K318:K324" si="28">IF(C318&gt;G318,C318-G318,0)</f>
        <v>0</v>
      </c>
      <c r="L318" s="503"/>
      <c r="M318" s="503"/>
      <c r="N318" s="504"/>
      <c r="O318" s="502">
        <f t="shared" ref="O318:O324" si="29">IF(G318&gt;C318,G318-C318,0)</f>
        <v>0</v>
      </c>
      <c r="P318" s="503"/>
      <c r="Q318" s="503"/>
      <c r="R318" s="504"/>
      <c r="S318" s="32"/>
      <c r="T318" s="483"/>
      <c r="U318" s="483"/>
      <c r="V318" s="483"/>
      <c r="W318" s="483"/>
      <c r="X318" s="483"/>
      <c r="Y318" s="483"/>
      <c r="Z318" s="483"/>
      <c r="AA318" s="483"/>
      <c r="AB318" s="160"/>
      <c r="AC318" s="160"/>
      <c r="AD318" s="161"/>
      <c r="AE318" s="161"/>
      <c r="AF318" s="161"/>
    </row>
    <row r="319" spans="1:32" ht="30.75" customHeight="1">
      <c r="A319" s="141">
        <v>11604</v>
      </c>
      <c r="B319" s="133" t="s">
        <v>301</v>
      </c>
      <c r="C319" s="496"/>
      <c r="D319" s="497"/>
      <c r="E319" s="497"/>
      <c r="F319" s="498"/>
      <c r="G319" s="496"/>
      <c r="H319" s="497"/>
      <c r="I319" s="497"/>
      <c r="J319" s="498"/>
      <c r="K319" s="505">
        <f t="shared" si="28"/>
        <v>0</v>
      </c>
      <c r="L319" s="503"/>
      <c r="M319" s="503"/>
      <c r="N319" s="504"/>
      <c r="O319" s="502">
        <f t="shared" si="29"/>
        <v>0</v>
      </c>
      <c r="P319" s="503"/>
      <c r="Q319" s="503"/>
      <c r="R319" s="504"/>
      <c r="S319" s="32"/>
      <c r="T319" s="483"/>
      <c r="U319" s="483"/>
      <c r="V319" s="483"/>
      <c r="W319" s="483"/>
      <c r="X319" s="483"/>
      <c r="Y319" s="483"/>
      <c r="Z319" s="483"/>
      <c r="AA319" s="483"/>
      <c r="AB319" s="160"/>
      <c r="AC319" s="160"/>
      <c r="AD319" s="161"/>
      <c r="AE319" s="161"/>
      <c r="AF319" s="161"/>
    </row>
    <row r="320" spans="1:32" ht="30.75" customHeight="1">
      <c r="A320" s="141">
        <v>11605</v>
      </c>
      <c r="B320" s="133" t="s">
        <v>302</v>
      </c>
      <c r="C320" s="496"/>
      <c r="D320" s="497"/>
      <c r="E320" s="497"/>
      <c r="F320" s="498"/>
      <c r="G320" s="496"/>
      <c r="H320" s="497"/>
      <c r="I320" s="497"/>
      <c r="J320" s="498"/>
      <c r="K320" s="505">
        <f t="shared" si="28"/>
        <v>0</v>
      </c>
      <c r="L320" s="503"/>
      <c r="M320" s="503"/>
      <c r="N320" s="504"/>
      <c r="O320" s="502">
        <f t="shared" si="29"/>
        <v>0</v>
      </c>
      <c r="P320" s="503"/>
      <c r="Q320" s="503"/>
      <c r="R320" s="504"/>
      <c r="S320" s="32"/>
      <c r="T320" s="483"/>
      <c r="U320" s="483"/>
      <c r="V320" s="483"/>
      <c r="W320" s="483"/>
      <c r="X320" s="483"/>
      <c r="Y320" s="483"/>
      <c r="Z320" s="483"/>
      <c r="AA320" s="483"/>
      <c r="AB320" s="160"/>
      <c r="AC320" s="160"/>
      <c r="AD320" s="161"/>
      <c r="AE320" s="161"/>
      <c r="AF320" s="161"/>
    </row>
    <row r="321" spans="1:32" ht="30.75" customHeight="1">
      <c r="A321" s="141">
        <v>11606</v>
      </c>
      <c r="B321" s="133" t="s">
        <v>303</v>
      </c>
      <c r="C321" s="496"/>
      <c r="D321" s="497"/>
      <c r="E321" s="497"/>
      <c r="F321" s="498"/>
      <c r="G321" s="496"/>
      <c r="H321" s="497"/>
      <c r="I321" s="497"/>
      <c r="J321" s="498"/>
      <c r="K321" s="505">
        <f t="shared" si="28"/>
        <v>0</v>
      </c>
      <c r="L321" s="503"/>
      <c r="M321" s="503"/>
      <c r="N321" s="504"/>
      <c r="O321" s="502">
        <f t="shared" si="29"/>
        <v>0</v>
      </c>
      <c r="P321" s="503"/>
      <c r="Q321" s="503"/>
      <c r="R321" s="504"/>
      <c r="S321" s="32"/>
      <c r="T321" s="483"/>
      <c r="U321" s="483"/>
      <c r="V321" s="483"/>
      <c r="W321" s="483"/>
      <c r="X321" s="483"/>
      <c r="Y321" s="483"/>
      <c r="Z321" s="483"/>
      <c r="AA321" s="483"/>
      <c r="AB321" s="160"/>
      <c r="AC321" s="160"/>
      <c r="AD321" s="161"/>
      <c r="AE321" s="161"/>
      <c r="AF321" s="161"/>
    </row>
    <row r="322" spans="1:32" ht="30.75" customHeight="1">
      <c r="A322" s="141">
        <v>11607</v>
      </c>
      <c r="B322" s="133" t="s">
        <v>304</v>
      </c>
      <c r="C322" s="496"/>
      <c r="D322" s="497"/>
      <c r="E322" s="497"/>
      <c r="F322" s="498"/>
      <c r="G322" s="496"/>
      <c r="H322" s="497"/>
      <c r="I322" s="497"/>
      <c r="J322" s="498"/>
      <c r="K322" s="505">
        <f t="shared" si="28"/>
        <v>0</v>
      </c>
      <c r="L322" s="503"/>
      <c r="M322" s="503"/>
      <c r="N322" s="504"/>
      <c r="O322" s="502">
        <f t="shared" si="29"/>
        <v>0</v>
      </c>
      <c r="P322" s="503"/>
      <c r="Q322" s="503"/>
      <c r="R322" s="504"/>
      <c r="S322" s="32"/>
      <c r="T322" s="483"/>
      <c r="U322" s="483"/>
      <c r="V322" s="483"/>
      <c r="W322" s="483"/>
      <c r="X322" s="483"/>
      <c r="Y322" s="483"/>
      <c r="Z322" s="483"/>
      <c r="AA322" s="483"/>
      <c r="AB322" s="160"/>
      <c r="AC322" s="160"/>
      <c r="AD322" s="161"/>
      <c r="AE322" s="161"/>
      <c r="AF322" s="161"/>
    </row>
    <row r="323" spans="1:32" ht="30.75" customHeight="1">
      <c r="A323" s="141">
        <v>11608</v>
      </c>
      <c r="B323" s="133" t="s">
        <v>305</v>
      </c>
      <c r="C323" s="496"/>
      <c r="D323" s="497"/>
      <c r="E323" s="497"/>
      <c r="F323" s="498"/>
      <c r="G323" s="496"/>
      <c r="H323" s="497"/>
      <c r="I323" s="497"/>
      <c r="J323" s="498"/>
      <c r="K323" s="505">
        <f t="shared" si="28"/>
        <v>0</v>
      </c>
      <c r="L323" s="503"/>
      <c r="M323" s="503"/>
      <c r="N323" s="504"/>
      <c r="O323" s="502">
        <f t="shared" si="29"/>
        <v>0</v>
      </c>
      <c r="P323" s="503"/>
      <c r="Q323" s="503"/>
      <c r="R323" s="504"/>
      <c r="S323" s="32"/>
      <c r="T323" s="483" t="str">
        <f>IF(C323-G323=K320+K321," "," مغایرت مانده تامین اعتبارسایر منابع با مانده پرداخت های غیر قطعی سایر منابع (پیش پرداخت ،علی الحساب و . . .)")</f>
        <v xml:space="preserve"> </v>
      </c>
      <c r="U323" s="483"/>
      <c r="V323" s="483"/>
      <c r="W323" s="483"/>
      <c r="X323" s="483"/>
      <c r="Y323" s="483"/>
      <c r="Z323" s="483"/>
      <c r="AA323" s="483"/>
      <c r="AB323" s="483"/>
      <c r="AC323" s="483"/>
      <c r="AD323" s="161"/>
      <c r="AE323" s="161"/>
      <c r="AF323" s="161"/>
    </row>
    <row r="324" spans="1:32" ht="30.75" customHeight="1" thickBot="1">
      <c r="A324" s="142">
        <v>11609</v>
      </c>
      <c r="B324" s="136" t="s">
        <v>306</v>
      </c>
      <c r="C324" s="496"/>
      <c r="D324" s="497"/>
      <c r="E324" s="497"/>
      <c r="F324" s="498"/>
      <c r="G324" s="496"/>
      <c r="H324" s="497"/>
      <c r="I324" s="497"/>
      <c r="J324" s="498"/>
      <c r="K324" s="548">
        <f t="shared" si="28"/>
        <v>0</v>
      </c>
      <c r="L324" s="549"/>
      <c r="M324" s="549"/>
      <c r="N324" s="550"/>
      <c r="O324" s="551">
        <f t="shared" si="29"/>
        <v>0</v>
      </c>
      <c r="P324" s="549"/>
      <c r="Q324" s="549"/>
      <c r="R324" s="550"/>
      <c r="S324" s="32"/>
      <c r="T324" s="483"/>
      <c r="U324" s="483"/>
      <c r="V324" s="483"/>
      <c r="W324" s="483"/>
      <c r="X324" s="483"/>
      <c r="Y324" s="483"/>
      <c r="Z324" s="483"/>
      <c r="AA324" s="483"/>
      <c r="AB324" s="160"/>
      <c r="AC324" s="160"/>
      <c r="AD324" s="161"/>
      <c r="AE324" s="161"/>
      <c r="AF324" s="161"/>
    </row>
    <row r="325" spans="1:32" ht="30.75" customHeight="1" thickBot="1">
      <c r="A325" s="529" t="s">
        <v>127</v>
      </c>
      <c r="B325" s="530"/>
      <c r="C325" s="516">
        <f t="shared" ref="C325" si="30">SUM(C316:F324)</f>
        <v>0</v>
      </c>
      <c r="D325" s="517"/>
      <c r="E325" s="517"/>
      <c r="F325" s="518"/>
      <c r="G325" s="516">
        <f t="shared" ref="G325" si="31">SUM(G316:J324)</f>
        <v>0</v>
      </c>
      <c r="H325" s="517"/>
      <c r="I325" s="517"/>
      <c r="J325" s="519"/>
      <c r="K325" s="522">
        <f t="shared" ref="K325" si="32">SUM(K316:N324)</f>
        <v>0</v>
      </c>
      <c r="L325" s="522"/>
      <c r="M325" s="522"/>
      <c r="N325" s="523"/>
      <c r="O325" s="521">
        <f t="shared" ref="O325" si="33">SUM(O316:R324)</f>
        <v>0</v>
      </c>
      <c r="P325" s="522"/>
      <c r="Q325" s="522"/>
      <c r="R325" s="523"/>
      <c r="S325" s="32"/>
      <c r="T325" s="481" t="str">
        <f>IF(K325=O325," "," مغایرت جمع مانده بدهکار با جمع مانده بستانکار")</f>
        <v xml:space="preserve"> </v>
      </c>
      <c r="U325" s="481"/>
      <c r="V325" s="481"/>
      <c r="W325" s="481"/>
      <c r="X325" s="481"/>
      <c r="Y325" s="481"/>
      <c r="Z325" s="481"/>
      <c r="AA325" s="481"/>
      <c r="AB325" s="160"/>
      <c r="AC325" s="160"/>
      <c r="AD325" s="161"/>
      <c r="AE325" s="161"/>
      <c r="AF325" s="161"/>
    </row>
    <row r="326" spans="1:32" s="2" customFormat="1" ht="28.5" thickBot="1">
      <c r="A326" s="140">
        <v>117</v>
      </c>
      <c r="B326" s="30"/>
      <c r="C326" s="499" t="s">
        <v>534</v>
      </c>
      <c r="D326" s="500"/>
      <c r="E326" s="500"/>
      <c r="F326" s="500"/>
      <c r="G326" s="500"/>
      <c r="H326" s="500"/>
      <c r="I326" s="500"/>
      <c r="J326" s="500"/>
      <c r="K326" s="500"/>
      <c r="L326" s="500"/>
      <c r="M326" s="500"/>
      <c r="N326" s="500"/>
      <c r="O326" s="500"/>
      <c r="P326" s="500"/>
      <c r="Q326" s="500"/>
      <c r="R326" s="501"/>
      <c r="S326" s="33"/>
      <c r="T326" s="483"/>
      <c r="U326" s="483"/>
      <c r="V326" s="483"/>
      <c r="W326" s="483"/>
      <c r="X326" s="483"/>
      <c r="Y326" s="483"/>
      <c r="Z326" s="483"/>
      <c r="AA326" s="483"/>
      <c r="AB326" s="96"/>
      <c r="AC326" s="96"/>
    </row>
    <row r="327" spans="1:32" ht="30.75" customHeight="1">
      <c r="A327" s="143">
        <v>11701</v>
      </c>
      <c r="B327" s="133" t="s">
        <v>307</v>
      </c>
      <c r="C327" s="496"/>
      <c r="D327" s="497"/>
      <c r="E327" s="497"/>
      <c r="F327" s="498"/>
      <c r="G327" s="496"/>
      <c r="H327" s="497"/>
      <c r="I327" s="497"/>
      <c r="J327" s="498"/>
      <c r="K327" s="505">
        <f t="shared" ref="K327:K333" si="34">IF(C327&gt;G327,C327-G327,0)</f>
        <v>0</v>
      </c>
      <c r="L327" s="503"/>
      <c r="M327" s="503"/>
      <c r="N327" s="504"/>
      <c r="O327" s="502">
        <f t="shared" ref="O327:O333" si="35">IF(G327&gt;C327,G327-C327,0)</f>
        <v>0</v>
      </c>
      <c r="P327" s="503"/>
      <c r="Q327" s="503"/>
      <c r="R327" s="504"/>
      <c r="S327" s="32"/>
      <c r="T327" s="483"/>
      <c r="U327" s="483"/>
      <c r="V327" s="483"/>
      <c r="W327" s="483"/>
      <c r="X327" s="483"/>
      <c r="Y327" s="483"/>
      <c r="Z327" s="483"/>
      <c r="AA327" s="483"/>
      <c r="AB327" s="160"/>
      <c r="AC327" s="160"/>
      <c r="AD327" s="161"/>
      <c r="AE327" s="161"/>
      <c r="AF327" s="161"/>
    </row>
    <row r="328" spans="1:32" ht="30.75" customHeight="1">
      <c r="A328" s="141">
        <v>11702</v>
      </c>
      <c r="B328" s="133" t="s">
        <v>308</v>
      </c>
      <c r="C328" s="496"/>
      <c r="D328" s="497"/>
      <c r="E328" s="497"/>
      <c r="F328" s="498"/>
      <c r="G328" s="496"/>
      <c r="H328" s="497"/>
      <c r="I328" s="497"/>
      <c r="J328" s="498"/>
      <c r="K328" s="505">
        <f t="shared" si="34"/>
        <v>0</v>
      </c>
      <c r="L328" s="503"/>
      <c r="M328" s="503"/>
      <c r="N328" s="504"/>
      <c r="O328" s="502">
        <f t="shared" si="35"/>
        <v>0</v>
      </c>
      <c r="P328" s="503"/>
      <c r="Q328" s="503"/>
      <c r="R328" s="504"/>
      <c r="S328" s="32"/>
      <c r="T328" s="483"/>
      <c r="U328" s="483"/>
      <c r="V328" s="483"/>
      <c r="W328" s="483"/>
      <c r="X328" s="483"/>
      <c r="Y328" s="483"/>
      <c r="Z328" s="483"/>
      <c r="AA328" s="483"/>
      <c r="AB328" s="160"/>
      <c r="AC328" s="160"/>
      <c r="AD328" s="161"/>
      <c r="AE328" s="161"/>
      <c r="AF328" s="161"/>
    </row>
    <row r="329" spans="1:32" ht="30.75" customHeight="1">
      <c r="A329" s="141">
        <v>11703</v>
      </c>
      <c r="B329" s="133" t="s">
        <v>309</v>
      </c>
      <c r="C329" s="496"/>
      <c r="D329" s="497"/>
      <c r="E329" s="497"/>
      <c r="F329" s="498"/>
      <c r="G329" s="496"/>
      <c r="H329" s="497"/>
      <c r="I329" s="497"/>
      <c r="J329" s="498"/>
      <c r="K329" s="505">
        <f t="shared" si="34"/>
        <v>0</v>
      </c>
      <c r="L329" s="503"/>
      <c r="M329" s="503"/>
      <c r="N329" s="504"/>
      <c r="O329" s="502">
        <f t="shared" si="35"/>
        <v>0</v>
      </c>
      <c r="P329" s="503"/>
      <c r="Q329" s="503"/>
      <c r="R329" s="504"/>
      <c r="S329" s="32"/>
      <c r="T329" s="483"/>
      <c r="U329" s="483"/>
      <c r="V329" s="483"/>
      <c r="W329" s="483"/>
      <c r="X329" s="483"/>
      <c r="Y329" s="483"/>
      <c r="Z329" s="483"/>
      <c r="AA329" s="483"/>
      <c r="AB329" s="160"/>
      <c r="AC329" s="160"/>
      <c r="AD329" s="161"/>
      <c r="AE329" s="161"/>
      <c r="AF329" s="161"/>
    </row>
    <row r="330" spans="1:32" ht="30.75" customHeight="1">
      <c r="A330" s="141">
        <v>11704</v>
      </c>
      <c r="B330" s="133" t="s">
        <v>310</v>
      </c>
      <c r="C330" s="496"/>
      <c r="D330" s="497"/>
      <c r="E330" s="497"/>
      <c r="F330" s="498"/>
      <c r="G330" s="496"/>
      <c r="H330" s="497"/>
      <c r="I330" s="497"/>
      <c r="J330" s="498"/>
      <c r="K330" s="505">
        <f t="shared" si="34"/>
        <v>0</v>
      </c>
      <c r="L330" s="503"/>
      <c r="M330" s="503"/>
      <c r="N330" s="504"/>
      <c r="O330" s="502">
        <f t="shared" si="35"/>
        <v>0</v>
      </c>
      <c r="P330" s="503"/>
      <c r="Q330" s="503"/>
      <c r="R330" s="504"/>
      <c r="S330" s="32"/>
      <c r="T330" s="483"/>
      <c r="U330" s="483"/>
      <c r="V330" s="483"/>
      <c r="W330" s="483"/>
      <c r="X330" s="483"/>
      <c r="Y330" s="483"/>
      <c r="Z330" s="483"/>
      <c r="AA330" s="483"/>
      <c r="AB330" s="160"/>
      <c r="AC330" s="160"/>
      <c r="AD330" s="161"/>
      <c r="AE330" s="161"/>
      <c r="AF330" s="161"/>
    </row>
    <row r="331" spans="1:32" ht="30.75" customHeight="1">
      <c r="A331" s="141">
        <v>11705</v>
      </c>
      <c r="B331" s="133" t="s">
        <v>311</v>
      </c>
      <c r="C331" s="496"/>
      <c r="D331" s="497"/>
      <c r="E331" s="497"/>
      <c r="F331" s="498"/>
      <c r="G331" s="496"/>
      <c r="H331" s="497"/>
      <c r="I331" s="497"/>
      <c r="J331" s="498"/>
      <c r="K331" s="505">
        <f t="shared" si="34"/>
        <v>0</v>
      </c>
      <c r="L331" s="503"/>
      <c r="M331" s="503"/>
      <c r="N331" s="504"/>
      <c r="O331" s="502">
        <f t="shared" si="35"/>
        <v>0</v>
      </c>
      <c r="P331" s="503"/>
      <c r="Q331" s="503"/>
      <c r="R331" s="504"/>
      <c r="S331" s="32"/>
      <c r="T331" s="483"/>
      <c r="U331" s="483"/>
      <c r="V331" s="483"/>
      <c r="W331" s="483"/>
      <c r="X331" s="483"/>
      <c r="Y331" s="483"/>
      <c r="Z331" s="483"/>
      <c r="AA331" s="483"/>
      <c r="AB331" s="160"/>
      <c r="AC331" s="160"/>
      <c r="AD331" s="161"/>
      <c r="AE331" s="161"/>
      <c r="AF331" s="161"/>
    </row>
    <row r="332" spans="1:32" ht="30.75" customHeight="1">
      <c r="A332" s="141">
        <v>11706</v>
      </c>
      <c r="B332" s="133" t="s">
        <v>312</v>
      </c>
      <c r="C332" s="496"/>
      <c r="D332" s="497"/>
      <c r="E332" s="497"/>
      <c r="F332" s="498"/>
      <c r="G332" s="496"/>
      <c r="H332" s="497"/>
      <c r="I332" s="497"/>
      <c r="J332" s="498"/>
      <c r="K332" s="505">
        <f t="shared" si="34"/>
        <v>0</v>
      </c>
      <c r="L332" s="503"/>
      <c r="M332" s="503"/>
      <c r="N332" s="504"/>
      <c r="O332" s="502">
        <f t="shared" si="35"/>
        <v>0</v>
      </c>
      <c r="P332" s="503"/>
      <c r="Q332" s="503"/>
      <c r="R332" s="504"/>
      <c r="S332" s="32"/>
      <c r="T332" s="483"/>
      <c r="U332" s="483"/>
      <c r="V332" s="483"/>
      <c r="W332" s="483"/>
      <c r="X332" s="483"/>
      <c r="Y332" s="483"/>
      <c r="Z332" s="483"/>
      <c r="AA332" s="483"/>
      <c r="AB332" s="160"/>
      <c r="AC332" s="160"/>
      <c r="AD332" s="161"/>
      <c r="AE332" s="161"/>
      <c r="AF332" s="161"/>
    </row>
    <row r="333" spans="1:32" ht="30.75" customHeight="1" thickBot="1">
      <c r="A333" s="142">
        <v>11707</v>
      </c>
      <c r="B333" s="134" t="s">
        <v>313</v>
      </c>
      <c r="C333" s="496"/>
      <c r="D333" s="497"/>
      <c r="E333" s="497"/>
      <c r="F333" s="498"/>
      <c r="G333" s="496"/>
      <c r="H333" s="497"/>
      <c r="I333" s="497"/>
      <c r="J333" s="498"/>
      <c r="K333" s="548">
        <f t="shared" si="34"/>
        <v>0</v>
      </c>
      <c r="L333" s="549"/>
      <c r="M333" s="549"/>
      <c r="N333" s="550"/>
      <c r="O333" s="551">
        <f t="shared" si="35"/>
        <v>0</v>
      </c>
      <c r="P333" s="549"/>
      <c r="Q333" s="549"/>
      <c r="R333" s="550"/>
      <c r="S333" s="32"/>
      <c r="T333" s="483"/>
      <c r="U333" s="483"/>
      <c r="V333" s="483"/>
      <c r="W333" s="483"/>
      <c r="X333" s="483"/>
      <c r="Y333" s="483"/>
      <c r="Z333" s="483"/>
      <c r="AA333" s="483"/>
      <c r="AB333" s="160"/>
      <c r="AC333" s="160"/>
      <c r="AD333" s="161"/>
      <c r="AE333" s="161"/>
      <c r="AF333" s="161"/>
    </row>
    <row r="334" spans="1:32" ht="30.75" customHeight="1" thickBot="1">
      <c r="A334" s="529" t="s">
        <v>127</v>
      </c>
      <c r="B334" s="530"/>
      <c r="C334" s="516">
        <f>SUM(C327:F333)</f>
        <v>0</v>
      </c>
      <c r="D334" s="517"/>
      <c r="E334" s="517"/>
      <c r="F334" s="518"/>
      <c r="G334" s="516">
        <f t="shared" ref="G334" si="36">SUM(G327:J333)</f>
        <v>0</v>
      </c>
      <c r="H334" s="517"/>
      <c r="I334" s="517"/>
      <c r="J334" s="519"/>
      <c r="K334" s="520">
        <f t="shared" ref="K334" si="37">SUM(K327:N333)</f>
        <v>0</v>
      </c>
      <c r="L334" s="517"/>
      <c r="M334" s="517"/>
      <c r="N334" s="518"/>
      <c r="O334" s="521">
        <f t="shared" ref="O334" si="38">SUM(O327:R333)</f>
        <v>0</v>
      </c>
      <c r="P334" s="522"/>
      <c r="Q334" s="522"/>
      <c r="R334" s="523"/>
      <c r="S334" s="32"/>
      <c r="T334" s="481" t="str">
        <f>IF(K334=O334," "," مغایرت جمع مانده بدهکار با جمع مانده بستانکار")</f>
        <v xml:space="preserve"> </v>
      </c>
      <c r="U334" s="481"/>
      <c r="V334" s="481"/>
      <c r="W334" s="481"/>
      <c r="X334" s="481"/>
      <c r="Y334" s="481"/>
      <c r="Z334" s="481"/>
      <c r="AA334" s="481"/>
      <c r="AB334" s="160"/>
      <c r="AC334" s="160"/>
      <c r="AD334" s="161"/>
      <c r="AE334" s="161"/>
      <c r="AF334" s="161"/>
    </row>
    <row r="335" spans="1:32" s="2" customFormat="1" ht="28.5" thickBot="1">
      <c r="A335" s="140">
        <v>118</v>
      </c>
      <c r="B335" s="30"/>
      <c r="C335" s="499" t="s">
        <v>535</v>
      </c>
      <c r="D335" s="500"/>
      <c r="E335" s="500"/>
      <c r="F335" s="500"/>
      <c r="G335" s="500"/>
      <c r="H335" s="500"/>
      <c r="I335" s="500"/>
      <c r="J335" s="500"/>
      <c r="K335" s="500"/>
      <c r="L335" s="500"/>
      <c r="M335" s="500"/>
      <c r="N335" s="500"/>
      <c r="O335" s="500"/>
      <c r="P335" s="500"/>
      <c r="Q335" s="500"/>
      <c r="R335" s="501"/>
      <c r="S335" s="33"/>
      <c r="T335" s="483"/>
      <c r="U335" s="483"/>
      <c r="V335" s="483"/>
      <c r="W335" s="483"/>
      <c r="X335" s="483"/>
      <c r="Y335" s="483"/>
      <c r="Z335" s="483"/>
      <c r="AA335" s="483"/>
      <c r="AB335" s="96"/>
      <c r="AC335" s="96"/>
    </row>
    <row r="336" spans="1:32" ht="30.75" customHeight="1">
      <c r="A336" s="143">
        <v>11801</v>
      </c>
      <c r="B336" s="133" t="s">
        <v>314</v>
      </c>
      <c r="C336" s="496"/>
      <c r="D336" s="497"/>
      <c r="E336" s="497"/>
      <c r="F336" s="498"/>
      <c r="G336" s="496"/>
      <c r="H336" s="497"/>
      <c r="I336" s="497"/>
      <c r="J336" s="498"/>
      <c r="K336" s="505">
        <f t="shared" ref="K336:K341" si="39">IF(C336&gt;G336,C336-G336,0)</f>
        <v>0</v>
      </c>
      <c r="L336" s="503"/>
      <c r="M336" s="503"/>
      <c r="N336" s="504"/>
      <c r="O336" s="502">
        <f t="shared" ref="O336:O341" si="40">IF(G336&gt;C336,G336-C336,0)</f>
        <v>0</v>
      </c>
      <c r="P336" s="503"/>
      <c r="Q336" s="503"/>
      <c r="R336" s="504"/>
      <c r="S336" s="32"/>
      <c r="T336" s="483"/>
      <c r="U336" s="483"/>
      <c r="V336" s="483"/>
      <c r="W336" s="483"/>
      <c r="X336" s="483"/>
      <c r="Y336" s="483"/>
      <c r="Z336" s="483"/>
      <c r="AA336" s="483"/>
      <c r="AB336" s="160"/>
      <c r="AC336" s="160"/>
      <c r="AD336" s="161"/>
      <c r="AE336" s="161"/>
      <c r="AF336" s="161"/>
    </row>
    <row r="337" spans="1:32" ht="30.75" customHeight="1">
      <c r="A337" s="141">
        <v>11802</v>
      </c>
      <c r="B337" s="133" t="s">
        <v>315</v>
      </c>
      <c r="C337" s="496"/>
      <c r="D337" s="497"/>
      <c r="E337" s="497"/>
      <c r="F337" s="498"/>
      <c r="G337" s="496"/>
      <c r="H337" s="497"/>
      <c r="I337" s="497"/>
      <c r="J337" s="498"/>
      <c r="K337" s="505">
        <f t="shared" si="39"/>
        <v>0</v>
      </c>
      <c r="L337" s="503"/>
      <c r="M337" s="503"/>
      <c r="N337" s="504"/>
      <c r="O337" s="502">
        <f t="shared" si="40"/>
        <v>0</v>
      </c>
      <c r="P337" s="503"/>
      <c r="Q337" s="503"/>
      <c r="R337" s="504"/>
      <c r="S337" s="32"/>
      <c r="T337" s="483"/>
      <c r="U337" s="483"/>
      <c r="V337" s="483"/>
      <c r="W337" s="483"/>
      <c r="X337" s="483"/>
      <c r="Y337" s="483"/>
      <c r="Z337" s="483"/>
      <c r="AA337" s="483"/>
      <c r="AB337" s="160"/>
      <c r="AC337" s="160"/>
      <c r="AD337" s="161"/>
      <c r="AE337" s="161"/>
      <c r="AF337" s="161"/>
    </row>
    <row r="338" spans="1:32" ht="30.75" customHeight="1">
      <c r="A338" s="141">
        <v>11803</v>
      </c>
      <c r="B338" s="133" t="s">
        <v>316</v>
      </c>
      <c r="C338" s="496"/>
      <c r="D338" s="497"/>
      <c r="E338" s="497"/>
      <c r="F338" s="498"/>
      <c r="G338" s="496"/>
      <c r="H338" s="497"/>
      <c r="I338" s="497"/>
      <c r="J338" s="498"/>
      <c r="K338" s="505">
        <f t="shared" si="39"/>
        <v>0</v>
      </c>
      <c r="L338" s="503"/>
      <c r="M338" s="503"/>
      <c r="N338" s="504"/>
      <c r="O338" s="502">
        <f t="shared" si="40"/>
        <v>0</v>
      </c>
      <c r="P338" s="503"/>
      <c r="Q338" s="503"/>
      <c r="R338" s="504"/>
      <c r="S338" s="32"/>
      <c r="T338" s="483"/>
      <c r="U338" s="483"/>
      <c r="V338" s="483"/>
      <c r="W338" s="483"/>
      <c r="X338" s="483"/>
      <c r="Y338" s="483"/>
      <c r="Z338" s="483"/>
      <c r="AA338" s="483"/>
      <c r="AB338" s="160"/>
      <c r="AC338" s="160"/>
      <c r="AD338" s="161"/>
      <c r="AE338" s="161"/>
      <c r="AF338" s="161"/>
    </row>
    <row r="339" spans="1:32" ht="30.75" customHeight="1">
      <c r="A339" s="141">
        <v>11804</v>
      </c>
      <c r="B339" s="133" t="s">
        <v>317</v>
      </c>
      <c r="C339" s="496"/>
      <c r="D339" s="497"/>
      <c r="E339" s="497"/>
      <c r="F339" s="498"/>
      <c r="G339" s="496"/>
      <c r="H339" s="497"/>
      <c r="I339" s="497"/>
      <c r="J339" s="498"/>
      <c r="K339" s="505">
        <f t="shared" si="39"/>
        <v>0</v>
      </c>
      <c r="L339" s="503"/>
      <c r="M339" s="503"/>
      <c r="N339" s="504"/>
      <c r="O339" s="502">
        <f t="shared" si="40"/>
        <v>0</v>
      </c>
      <c r="P339" s="503"/>
      <c r="Q339" s="503"/>
      <c r="R339" s="504"/>
      <c r="S339" s="32"/>
      <c r="T339" s="483"/>
      <c r="U339" s="483"/>
      <c r="V339" s="483"/>
      <c r="W339" s="483"/>
      <c r="X339" s="483"/>
      <c r="Y339" s="483"/>
      <c r="Z339" s="483"/>
      <c r="AA339" s="483"/>
      <c r="AB339" s="160"/>
      <c r="AC339" s="160"/>
      <c r="AD339" s="161"/>
      <c r="AE339" s="161"/>
      <c r="AF339" s="161"/>
    </row>
    <row r="340" spans="1:32" ht="30.75" customHeight="1">
      <c r="A340" s="141">
        <v>11805</v>
      </c>
      <c r="B340" s="133" t="s">
        <v>318</v>
      </c>
      <c r="C340" s="496"/>
      <c r="D340" s="497"/>
      <c r="E340" s="497"/>
      <c r="F340" s="498"/>
      <c r="G340" s="496"/>
      <c r="H340" s="497"/>
      <c r="I340" s="497"/>
      <c r="J340" s="498"/>
      <c r="K340" s="505">
        <f t="shared" si="39"/>
        <v>0</v>
      </c>
      <c r="L340" s="503"/>
      <c r="M340" s="503"/>
      <c r="N340" s="504"/>
      <c r="O340" s="502">
        <f t="shared" si="40"/>
        <v>0</v>
      </c>
      <c r="P340" s="503"/>
      <c r="Q340" s="503"/>
      <c r="R340" s="504"/>
      <c r="S340" s="32"/>
      <c r="T340" s="483"/>
      <c r="U340" s="483"/>
      <c r="V340" s="483"/>
      <c r="W340" s="483"/>
      <c r="X340" s="483"/>
      <c r="Y340" s="483"/>
      <c r="Z340" s="483"/>
      <c r="AA340" s="483"/>
      <c r="AB340" s="160"/>
      <c r="AC340" s="160"/>
      <c r="AD340" s="161"/>
      <c r="AE340" s="161"/>
      <c r="AF340" s="161"/>
    </row>
    <row r="341" spans="1:32" ht="30.75" customHeight="1" thickBot="1">
      <c r="A341" s="142">
        <v>11806</v>
      </c>
      <c r="B341" s="135" t="s">
        <v>319</v>
      </c>
      <c r="C341" s="496"/>
      <c r="D341" s="497"/>
      <c r="E341" s="497"/>
      <c r="F341" s="498"/>
      <c r="G341" s="496"/>
      <c r="H341" s="497"/>
      <c r="I341" s="497"/>
      <c r="J341" s="498"/>
      <c r="K341" s="548">
        <f t="shared" si="39"/>
        <v>0</v>
      </c>
      <c r="L341" s="549"/>
      <c r="M341" s="549"/>
      <c r="N341" s="550"/>
      <c r="O341" s="551">
        <f t="shared" si="40"/>
        <v>0</v>
      </c>
      <c r="P341" s="549"/>
      <c r="Q341" s="549"/>
      <c r="R341" s="550"/>
      <c r="S341" s="32"/>
      <c r="T341" s="483"/>
      <c r="U341" s="483"/>
      <c r="V341" s="483"/>
      <c r="W341" s="483"/>
      <c r="X341" s="483"/>
      <c r="Y341" s="483"/>
      <c r="Z341" s="483"/>
      <c r="AA341" s="483"/>
      <c r="AB341" s="160"/>
      <c r="AC341" s="160"/>
      <c r="AD341" s="161"/>
      <c r="AE341" s="161"/>
      <c r="AF341" s="161"/>
    </row>
    <row r="342" spans="1:32" ht="30.75" customHeight="1" thickBot="1">
      <c r="A342" s="531" t="s">
        <v>127</v>
      </c>
      <c r="B342" s="532"/>
      <c r="C342" s="521">
        <f>SUM(C336:F341)</f>
        <v>0</v>
      </c>
      <c r="D342" s="522"/>
      <c r="E342" s="522"/>
      <c r="F342" s="523"/>
      <c r="G342" s="521">
        <f>SUM(G336:J341)</f>
        <v>0</v>
      </c>
      <c r="H342" s="522"/>
      <c r="I342" s="522"/>
      <c r="J342" s="522"/>
      <c r="K342" s="520">
        <f>SUM(K336:N341)</f>
        <v>0</v>
      </c>
      <c r="L342" s="517"/>
      <c r="M342" s="517"/>
      <c r="N342" s="518"/>
      <c r="O342" s="521">
        <f>SUM(O336:R341)</f>
        <v>0</v>
      </c>
      <c r="P342" s="522"/>
      <c r="Q342" s="522"/>
      <c r="R342" s="523"/>
      <c r="S342" s="32"/>
      <c r="T342" s="481" t="str">
        <f>IF(K342=O342," "," مغایرت جمع مانده بدهکار با جمع مانده بستانکار")</f>
        <v xml:space="preserve"> </v>
      </c>
      <c r="U342" s="481"/>
      <c r="V342" s="481"/>
      <c r="W342" s="481"/>
      <c r="X342" s="481"/>
      <c r="Y342" s="481"/>
      <c r="Z342" s="481"/>
      <c r="AA342" s="481"/>
      <c r="AB342" s="160"/>
      <c r="AC342" s="160"/>
      <c r="AD342" s="161"/>
      <c r="AE342" s="161"/>
      <c r="AF342" s="161"/>
    </row>
    <row r="343" spans="1:32" s="2" customFormat="1" ht="28.5" thickBot="1">
      <c r="A343" s="140">
        <v>119</v>
      </c>
      <c r="B343" s="30"/>
      <c r="C343" s="499" t="s">
        <v>536</v>
      </c>
      <c r="D343" s="500"/>
      <c r="E343" s="500"/>
      <c r="F343" s="500"/>
      <c r="G343" s="500"/>
      <c r="H343" s="500"/>
      <c r="I343" s="500"/>
      <c r="J343" s="500"/>
      <c r="K343" s="500"/>
      <c r="L343" s="500"/>
      <c r="M343" s="500"/>
      <c r="N343" s="500"/>
      <c r="O343" s="500"/>
      <c r="P343" s="500"/>
      <c r="Q343" s="500"/>
      <c r="R343" s="501"/>
      <c r="S343" s="33"/>
      <c r="T343" s="483"/>
      <c r="U343" s="483"/>
      <c r="V343" s="483"/>
      <c r="W343" s="483"/>
      <c r="X343" s="483"/>
      <c r="Y343" s="483"/>
      <c r="Z343" s="483"/>
      <c r="AA343" s="483"/>
      <c r="AB343" s="96"/>
      <c r="AC343" s="96"/>
    </row>
    <row r="344" spans="1:32" ht="30.75" customHeight="1">
      <c r="A344" s="143">
        <v>11901</v>
      </c>
      <c r="B344" s="133" t="s">
        <v>320</v>
      </c>
      <c r="C344" s="496"/>
      <c r="D344" s="497"/>
      <c r="E344" s="497"/>
      <c r="F344" s="498"/>
      <c r="G344" s="496"/>
      <c r="H344" s="497"/>
      <c r="I344" s="497"/>
      <c r="J344" s="498"/>
      <c r="K344" s="505">
        <f t="shared" ref="K344:K351" si="41">IF(C344&gt;G344,C344-G344,0)</f>
        <v>0</v>
      </c>
      <c r="L344" s="503"/>
      <c r="M344" s="503"/>
      <c r="N344" s="504"/>
      <c r="O344" s="502">
        <f t="shared" ref="O344:O351" si="42">IF(G344&gt;C344,G344-C344,0)</f>
        <v>0</v>
      </c>
      <c r="P344" s="503"/>
      <c r="Q344" s="503"/>
      <c r="R344" s="504"/>
      <c r="S344" s="32"/>
      <c r="T344" s="483"/>
      <c r="U344" s="483"/>
      <c r="V344" s="483"/>
      <c r="W344" s="483"/>
      <c r="X344" s="483"/>
      <c r="Y344" s="483"/>
      <c r="Z344" s="483"/>
      <c r="AA344" s="483"/>
      <c r="AB344" s="160"/>
      <c r="AC344" s="160"/>
      <c r="AD344" s="161"/>
      <c r="AE344" s="161"/>
      <c r="AF344" s="161"/>
    </row>
    <row r="345" spans="1:32" ht="30.75" customHeight="1">
      <c r="A345" s="141">
        <v>11902</v>
      </c>
      <c r="B345" s="133" t="s">
        <v>321</v>
      </c>
      <c r="C345" s="496"/>
      <c r="D345" s="497"/>
      <c r="E345" s="497"/>
      <c r="F345" s="498"/>
      <c r="G345" s="496"/>
      <c r="H345" s="497"/>
      <c r="I345" s="497"/>
      <c r="J345" s="498"/>
      <c r="K345" s="505">
        <f t="shared" si="41"/>
        <v>0</v>
      </c>
      <c r="L345" s="503"/>
      <c r="M345" s="503"/>
      <c r="N345" s="504"/>
      <c r="O345" s="502">
        <f t="shared" si="42"/>
        <v>0</v>
      </c>
      <c r="P345" s="503"/>
      <c r="Q345" s="503"/>
      <c r="R345" s="504"/>
      <c r="S345" s="32"/>
      <c r="T345" s="483" t="str">
        <f>IF(G345-C345=K344+K346+K347+K348+K349+K350+K351," ","  مغایرت درآمد خانه های سازمانی با مانده بانک (دریافت وپرداخت) ، خزانه ، پیش پرداخت،علی الحساب ،تنخواه و هزینه ازمحل خانه های سازمانی  ")</f>
        <v xml:space="preserve"> </v>
      </c>
      <c r="U345" s="483"/>
      <c r="V345" s="483"/>
      <c r="W345" s="483"/>
      <c r="X345" s="483"/>
      <c r="Y345" s="483"/>
      <c r="Z345" s="483"/>
      <c r="AA345" s="483"/>
      <c r="AB345" s="483"/>
      <c r="AC345" s="483"/>
      <c r="AD345" s="483"/>
      <c r="AE345" s="161"/>
      <c r="AF345" s="161"/>
    </row>
    <row r="346" spans="1:32" ht="30.75" customHeight="1">
      <c r="A346" s="141">
        <v>11903</v>
      </c>
      <c r="B346" s="133" t="s">
        <v>322</v>
      </c>
      <c r="C346" s="496"/>
      <c r="D346" s="497"/>
      <c r="E346" s="497"/>
      <c r="F346" s="498"/>
      <c r="G346" s="496"/>
      <c r="H346" s="497"/>
      <c r="I346" s="497"/>
      <c r="J346" s="498"/>
      <c r="K346" s="505">
        <f t="shared" si="41"/>
        <v>0</v>
      </c>
      <c r="L346" s="503"/>
      <c r="M346" s="503"/>
      <c r="N346" s="504"/>
      <c r="O346" s="502">
        <f t="shared" si="42"/>
        <v>0</v>
      </c>
      <c r="P346" s="503"/>
      <c r="Q346" s="503"/>
      <c r="R346" s="504"/>
      <c r="S346" s="32"/>
      <c r="T346" s="483"/>
      <c r="U346" s="483"/>
      <c r="V346" s="483"/>
      <c r="W346" s="483"/>
      <c r="X346" s="483"/>
      <c r="Y346" s="483"/>
      <c r="Z346" s="483"/>
      <c r="AA346" s="483"/>
      <c r="AB346" s="160"/>
      <c r="AC346" s="160"/>
      <c r="AD346" s="161"/>
      <c r="AE346" s="161"/>
      <c r="AF346" s="161"/>
    </row>
    <row r="347" spans="1:32" ht="30.75" customHeight="1">
      <c r="A347" s="141">
        <v>11904</v>
      </c>
      <c r="B347" s="133" t="s">
        <v>323</v>
      </c>
      <c r="C347" s="496"/>
      <c r="D347" s="497"/>
      <c r="E347" s="497"/>
      <c r="F347" s="498"/>
      <c r="G347" s="496"/>
      <c r="H347" s="497"/>
      <c r="I347" s="497"/>
      <c r="J347" s="498"/>
      <c r="K347" s="505">
        <f t="shared" si="41"/>
        <v>0</v>
      </c>
      <c r="L347" s="503"/>
      <c r="M347" s="503"/>
      <c r="N347" s="504"/>
      <c r="O347" s="502">
        <f t="shared" si="42"/>
        <v>0</v>
      </c>
      <c r="P347" s="503"/>
      <c r="Q347" s="503"/>
      <c r="R347" s="504"/>
      <c r="S347" s="32"/>
      <c r="T347" s="483"/>
      <c r="U347" s="483"/>
      <c r="V347" s="483"/>
      <c r="W347" s="483"/>
      <c r="X347" s="483"/>
      <c r="Y347" s="483"/>
      <c r="Z347" s="483"/>
      <c r="AA347" s="483"/>
      <c r="AB347" s="160"/>
      <c r="AC347" s="160"/>
      <c r="AD347" s="161"/>
      <c r="AE347" s="161"/>
      <c r="AF347" s="161"/>
    </row>
    <row r="348" spans="1:32" ht="30.75" customHeight="1">
      <c r="A348" s="141">
        <v>11905</v>
      </c>
      <c r="B348" s="133" t="s">
        <v>324</v>
      </c>
      <c r="C348" s="496"/>
      <c r="D348" s="497"/>
      <c r="E348" s="497"/>
      <c r="F348" s="498"/>
      <c r="G348" s="496"/>
      <c r="H348" s="497"/>
      <c r="I348" s="497"/>
      <c r="J348" s="498"/>
      <c r="K348" s="505">
        <f t="shared" si="41"/>
        <v>0</v>
      </c>
      <c r="L348" s="503"/>
      <c r="M348" s="503"/>
      <c r="N348" s="504"/>
      <c r="O348" s="502">
        <f t="shared" si="42"/>
        <v>0</v>
      </c>
      <c r="P348" s="503"/>
      <c r="Q348" s="503"/>
      <c r="R348" s="504"/>
      <c r="S348" s="32"/>
      <c r="T348" s="483"/>
      <c r="U348" s="483"/>
      <c r="V348" s="483"/>
      <c r="W348" s="483"/>
      <c r="X348" s="483"/>
      <c r="Y348" s="483"/>
      <c r="Z348" s="483"/>
      <c r="AA348" s="483"/>
      <c r="AB348" s="160"/>
      <c r="AC348" s="160"/>
      <c r="AD348" s="161"/>
      <c r="AE348" s="161"/>
      <c r="AF348" s="161"/>
    </row>
    <row r="349" spans="1:32" ht="30.75" customHeight="1">
      <c r="A349" s="141">
        <v>11906</v>
      </c>
      <c r="B349" s="133" t="s">
        <v>325</v>
      </c>
      <c r="C349" s="496"/>
      <c r="D349" s="497"/>
      <c r="E349" s="497"/>
      <c r="F349" s="498"/>
      <c r="G349" s="496"/>
      <c r="H349" s="497"/>
      <c r="I349" s="497"/>
      <c r="J349" s="498"/>
      <c r="K349" s="505">
        <f t="shared" si="41"/>
        <v>0</v>
      </c>
      <c r="L349" s="503"/>
      <c r="M349" s="503"/>
      <c r="N349" s="504"/>
      <c r="O349" s="502">
        <f t="shared" si="42"/>
        <v>0</v>
      </c>
      <c r="P349" s="503"/>
      <c r="Q349" s="503"/>
      <c r="R349" s="504"/>
      <c r="S349" s="32"/>
      <c r="T349" s="483"/>
      <c r="U349" s="483"/>
      <c r="V349" s="483"/>
      <c r="W349" s="483"/>
      <c r="X349" s="483"/>
      <c r="Y349" s="483"/>
      <c r="Z349" s="483"/>
      <c r="AA349" s="483"/>
      <c r="AB349" s="160"/>
      <c r="AC349" s="160"/>
      <c r="AD349" s="161"/>
      <c r="AE349" s="161"/>
      <c r="AF349" s="161"/>
    </row>
    <row r="350" spans="1:32" ht="30.75" customHeight="1">
      <c r="A350" s="141">
        <v>11907</v>
      </c>
      <c r="B350" s="133" t="s">
        <v>326</v>
      </c>
      <c r="C350" s="496"/>
      <c r="D350" s="497"/>
      <c r="E350" s="497"/>
      <c r="F350" s="498"/>
      <c r="G350" s="496"/>
      <c r="H350" s="497"/>
      <c r="I350" s="497"/>
      <c r="J350" s="498"/>
      <c r="K350" s="505">
        <f t="shared" si="41"/>
        <v>0</v>
      </c>
      <c r="L350" s="503"/>
      <c r="M350" s="503"/>
      <c r="N350" s="504"/>
      <c r="O350" s="502">
        <f t="shared" si="42"/>
        <v>0</v>
      </c>
      <c r="P350" s="503"/>
      <c r="Q350" s="503"/>
      <c r="R350" s="504"/>
      <c r="S350" s="32"/>
      <c r="T350" s="483"/>
      <c r="U350" s="483"/>
      <c r="V350" s="483"/>
      <c r="W350" s="483"/>
      <c r="X350" s="483"/>
      <c r="Y350" s="483"/>
      <c r="Z350" s="483"/>
      <c r="AA350" s="483"/>
      <c r="AB350" s="160"/>
      <c r="AC350" s="160"/>
      <c r="AD350" s="161"/>
      <c r="AE350" s="161"/>
      <c r="AF350" s="161"/>
    </row>
    <row r="351" spans="1:32" ht="30.75" customHeight="1" thickBot="1">
      <c r="A351" s="142">
        <v>11908</v>
      </c>
      <c r="B351" s="134" t="s">
        <v>327</v>
      </c>
      <c r="C351" s="496"/>
      <c r="D351" s="497"/>
      <c r="E351" s="497"/>
      <c r="F351" s="498"/>
      <c r="G351" s="496"/>
      <c r="H351" s="497"/>
      <c r="I351" s="497"/>
      <c r="J351" s="498"/>
      <c r="K351" s="561">
        <f t="shared" si="41"/>
        <v>0</v>
      </c>
      <c r="L351" s="562"/>
      <c r="M351" s="562"/>
      <c r="N351" s="563"/>
      <c r="O351" s="564">
        <f t="shared" si="42"/>
        <v>0</v>
      </c>
      <c r="P351" s="562"/>
      <c r="Q351" s="562"/>
      <c r="R351" s="563"/>
      <c r="S351" s="32"/>
      <c r="T351" s="483"/>
      <c r="U351" s="483"/>
      <c r="V351" s="483"/>
      <c r="W351" s="483"/>
      <c r="X351" s="483"/>
      <c r="Y351" s="483"/>
      <c r="Z351" s="483"/>
      <c r="AA351" s="483"/>
      <c r="AB351" s="160"/>
      <c r="AC351" s="160"/>
      <c r="AD351" s="161"/>
      <c r="AE351" s="161"/>
      <c r="AF351" s="161"/>
    </row>
    <row r="352" spans="1:32" ht="30.75" customHeight="1" thickBot="1">
      <c r="A352" s="529" t="s">
        <v>127</v>
      </c>
      <c r="B352" s="530"/>
      <c r="C352" s="516">
        <f>SUM(C344:F351)</f>
        <v>0</v>
      </c>
      <c r="D352" s="517"/>
      <c r="E352" s="517"/>
      <c r="F352" s="518"/>
      <c r="G352" s="516">
        <f>SUM(G344:J351)</f>
        <v>0</v>
      </c>
      <c r="H352" s="517"/>
      <c r="I352" s="517"/>
      <c r="J352" s="519"/>
      <c r="K352" s="517">
        <f>SUM(K344:N351)</f>
        <v>0</v>
      </c>
      <c r="L352" s="517"/>
      <c r="M352" s="517"/>
      <c r="N352" s="518"/>
      <c r="O352" s="516">
        <f>SUM(O344:R351)</f>
        <v>0</v>
      </c>
      <c r="P352" s="517"/>
      <c r="Q352" s="517"/>
      <c r="R352" s="518"/>
      <c r="S352" s="32"/>
      <c r="T352" s="481" t="str">
        <f>IF(K352=O352," "," مغایرت جمع مانده بدهکار با جمع مانده بستانکار")</f>
        <v xml:space="preserve"> </v>
      </c>
      <c r="U352" s="481"/>
      <c r="V352" s="481"/>
      <c r="W352" s="481"/>
      <c r="X352" s="481"/>
      <c r="Y352" s="481"/>
      <c r="Z352" s="481"/>
      <c r="AA352" s="481"/>
      <c r="AB352" s="160"/>
      <c r="AC352" s="160"/>
      <c r="AD352" s="161"/>
      <c r="AE352" s="161"/>
      <c r="AF352" s="161"/>
    </row>
    <row r="353" spans="1:32" s="2" customFormat="1" ht="28.5" thickBot="1">
      <c r="A353" s="140">
        <v>120</v>
      </c>
      <c r="B353" s="30"/>
      <c r="C353" s="499" t="s">
        <v>537</v>
      </c>
      <c r="D353" s="500"/>
      <c r="E353" s="500"/>
      <c r="F353" s="500"/>
      <c r="G353" s="500"/>
      <c r="H353" s="500"/>
      <c r="I353" s="500"/>
      <c r="J353" s="500"/>
      <c r="K353" s="500"/>
      <c r="L353" s="500"/>
      <c r="M353" s="500"/>
      <c r="N353" s="500"/>
      <c r="O353" s="500"/>
      <c r="P353" s="500"/>
      <c r="Q353" s="500"/>
      <c r="R353" s="501"/>
      <c r="S353" s="33"/>
      <c r="T353" s="483"/>
      <c r="U353" s="483"/>
      <c r="V353" s="483"/>
      <c r="W353" s="483"/>
      <c r="X353" s="483"/>
      <c r="Y353" s="483"/>
      <c r="Z353" s="483"/>
      <c r="AA353" s="483"/>
      <c r="AB353" s="96"/>
      <c r="AC353" s="96"/>
    </row>
    <row r="354" spans="1:32" ht="30.75" customHeight="1">
      <c r="A354" s="143">
        <v>12001</v>
      </c>
      <c r="B354" s="133" t="s">
        <v>328</v>
      </c>
      <c r="C354" s="496"/>
      <c r="D354" s="497"/>
      <c r="E354" s="497"/>
      <c r="F354" s="498"/>
      <c r="G354" s="496"/>
      <c r="H354" s="497"/>
      <c r="I354" s="497"/>
      <c r="J354" s="498"/>
      <c r="K354" s="505">
        <f>IF(C354&gt;G354,C354-G354,0)</f>
        <v>0</v>
      </c>
      <c r="L354" s="503"/>
      <c r="M354" s="503"/>
      <c r="N354" s="504"/>
      <c r="O354" s="502">
        <f>IF(G354&gt;C354,G354-C354,0)</f>
        <v>0</v>
      </c>
      <c r="P354" s="503"/>
      <c r="Q354" s="503"/>
      <c r="R354" s="504"/>
      <c r="S354" s="32"/>
      <c r="T354" s="483" t="str">
        <f>IF(C355-G355=G354-C354," ","مغایرت خزانه تمرکز وجوه فاقد مشخصات با وجوه دریافتی فاقد مشخصات")</f>
        <v xml:space="preserve"> </v>
      </c>
      <c r="U354" s="483"/>
      <c r="V354" s="483"/>
      <c r="W354" s="483"/>
      <c r="X354" s="483"/>
      <c r="Y354" s="483"/>
      <c r="Z354" s="483"/>
      <c r="AA354" s="483"/>
      <c r="AB354" s="160"/>
      <c r="AC354" s="160"/>
      <c r="AD354" s="161"/>
      <c r="AE354" s="161"/>
      <c r="AF354" s="161"/>
    </row>
    <row r="355" spans="1:32" ht="30.75" customHeight="1">
      <c r="A355" s="141">
        <v>12002</v>
      </c>
      <c r="B355" s="133" t="s">
        <v>329</v>
      </c>
      <c r="C355" s="496"/>
      <c r="D355" s="497"/>
      <c r="E355" s="497"/>
      <c r="F355" s="498"/>
      <c r="G355" s="496"/>
      <c r="H355" s="497"/>
      <c r="I355" s="497"/>
      <c r="J355" s="498"/>
      <c r="K355" s="505">
        <f>IF(C355&gt;G355,C355-G355,0)</f>
        <v>0</v>
      </c>
      <c r="L355" s="503"/>
      <c r="M355" s="503"/>
      <c r="N355" s="504"/>
      <c r="O355" s="502">
        <f>IF(G355&gt;C355,G355-C355,0)</f>
        <v>0</v>
      </c>
      <c r="P355" s="503"/>
      <c r="Q355" s="503"/>
      <c r="R355" s="504"/>
      <c r="S355" s="32"/>
      <c r="T355" s="483"/>
      <c r="U355" s="483"/>
      <c r="V355" s="483"/>
      <c r="W355" s="483"/>
      <c r="X355" s="483"/>
      <c r="Y355" s="483"/>
      <c r="Z355" s="483"/>
      <c r="AA355" s="483"/>
      <c r="AB355" s="160"/>
      <c r="AC355" s="160"/>
      <c r="AD355" s="161"/>
      <c r="AE355" s="161"/>
      <c r="AF355" s="161"/>
    </row>
    <row r="356" spans="1:32" ht="30.75" customHeight="1">
      <c r="A356" s="141">
        <v>12003</v>
      </c>
      <c r="B356" s="133" t="s">
        <v>330</v>
      </c>
      <c r="C356" s="496"/>
      <c r="D356" s="497"/>
      <c r="E356" s="497"/>
      <c r="F356" s="498"/>
      <c r="G356" s="496"/>
      <c r="H356" s="497"/>
      <c r="I356" s="497"/>
      <c r="J356" s="498"/>
      <c r="K356" s="505">
        <f>IF(C356&gt;G356,C356-G356,0)</f>
        <v>0</v>
      </c>
      <c r="L356" s="503"/>
      <c r="M356" s="503"/>
      <c r="N356" s="504"/>
      <c r="O356" s="502">
        <f>IF(G356&gt;C356,G356-C356,0)</f>
        <v>0</v>
      </c>
      <c r="P356" s="503"/>
      <c r="Q356" s="503"/>
      <c r="R356" s="504"/>
      <c r="S356" s="32"/>
      <c r="T356" s="483" t="str">
        <f>IF(G356-C356=C358-G358+C357-G357," ","مغایرت خزانه تمرکز وجوه چک های بین راهی با چک ها بین راهی")</f>
        <v xml:space="preserve"> </v>
      </c>
      <c r="U356" s="483"/>
      <c r="V356" s="483"/>
      <c r="W356" s="483"/>
      <c r="X356" s="483"/>
      <c r="Y356" s="483"/>
      <c r="Z356" s="483"/>
      <c r="AA356" s="483"/>
      <c r="AB356" s="160"/>
      <c r="AC356" s="160"/>
      <c r="AD356" s="161"/>
      <c r="AE356" s="161"/>
      <c r="AF356" s="161"/>
    </row>
    <row r="357" spans="1:32" ht="30.75" customHeight="1">
      <c r="A357" s="141">
        <v>12004</v>
      </c>
      <c r="B357" s="133" t="s">
        <v>331</v>
      </c>
      <c r="C357" s="496"/>
      <c r="D357" s="497"/>
      <c r="E357" s="497"/>
      <c r="F357" s="498"/>
      <c r="G357" s="496"/>
      <c r="H357" s="497"/>
      <c r="I357" s="497"/>
      <c r="J357" s="498"/>
      <c r="K357" s="505">
        <f>IF(C357&gt;G357,C357-G357,0)</f>
        <v>0</v>
      </c>
      <c r="L357" s="503"/>
      <c r="M357" s="503"/>
      <c r="N357" s="504"/>
      <c r="O357" s="502">
        <f>IF(G357&gt;C357,G357-C357,0)</f>
        <v>0</v>
      </c>
      <c r="P357" s="503"/>
      <c r="Q357" s="503"/>
      <c r="R357" s="504"/>
      <c r="S357" s="32"/>
      <c r="T357" s="483"/>
      <c r="U357" s="483"/>
      <c r="V357" s="483"/>
      <c r="W357" s="483"/>
      <c r="X357" s="483"/>
      <c r="Y357" s="483"/>
      <c r="Z357" s="483"/>
      <c r="AA357" s="483"/>
      <c r="AB357" s="160"/>
      <c r="AC357" s="160"/>
      <c r="AD357" s="161"/>
      <c r="AE357" s="161"/>
      <c r="AF357" s="161"/>
    </row>
    <row r="358" spans="1:32" ht="30.75" customHeight="1" thickBot="1">
      <c r="A358" s="142">
        <v>12005</v>
      </c>
      <c r="B358" s="135" t="s">
        <v>332</v>
      </c>
      <c r="C358" s="524"/>
      <c r="D358" s="525"/>
      <c r="E358" s="525"/>
      <c r="F358" s="526"/>
      <c r="G358" s="524"/>
      <c r="H358" s="525"/>
      <c r="I358" s="525"/>
      <c r="J358" s="552"/>
      <c r="K358" s="548">
        <f>IF(C358&gt;G358,C358-G358,0)</f>
        <v>0</v>
      </c>
      <c r="L358" s="549"/>
      <c r="M358" s="549"/>
      <c r="N358" s="550"/>
      <c r="O358" s="551">
        <f>IF(G358&gt;C358,G358-C358,0)</f>
        <v>0</v>
      </c>
      <c r="P358" s="549"/>
      <c r="Q358" s="549"/>
      <c r="R358" s="550"/>
      <c r="S358" s="32"/>
      <c r="T358" s="483"/>
      <c r="U358" s="483"/>
      <c r="V358" s="483"/>
      <c r="W358" s="483"/>
      <c r="X358" s="483"/>
      <c r="Y358" s="483"/>
      <c r="Z358" s="483"/>
      <c r="AA358" s="483"/>
      <c r="AB358" s="160"/>
      <c r="AC358" s="160"/>
      <c r="AD358" s="161"/>
      <c r="AE358" s="161"/>
      <c r="AF358" s="161"/>
    </row>
    <row r="359" spans="1:32" ht="30.75" customHeight="1" thickBot="1">
      <c r="A359" s="531" t="s">
        <v>127</v>
      </c>
      <c r="B359" s="532"/>
      <c r="C359" s="521">
        <f>SUM(C354:F358)</f>
        <v>0</v>
      </c>
      <c r="D359" s="522"/>
      <c r="E359" s="522"/>
      <c r="F359" s="523"/>
      <c r="G359" s="559">
        <f>SUM(G354:J358)</f>
        <v>0</v>
      </c>
      <c r="H359" s="557"/>
      <c r="I359" s="557"/>
      <c r="J359" s="560"/>
      <c r="K359" s="522">
        <f>SUM(K354:N358)</f>
        <v>0</v>
      </c>
      <c r="L359" s="522"/>
      <c r="M359" s="522"/>
      <c r="N359" s="523"/>
      <c r="O359" s="521">
        <f>SUM(O354:R358)</f>
        <v>0</v>
      </c>
      <c r="P359" s="522"/>
      <c r="Q359" s="522"/>
      <c r="R359" s="523"/>
      <c r="S359" s="32"/>
      <c r="T359" s="481" t="str">
        <f>IF(K359=O359," "," مغایرت جمع مانده بدهکار با جمع مانده بستانکار")</f>
        <v xml:space="preserve"> </v>
      </c>
      <c r="U359" s="481"/>
      <c r="V359" s="481"/>
      <c r="W359" s="481"/>
      <c r="X359" s="481"/>
      <c r="Y359" s="481"/>
      <c r="Z359" s="481"/>
      <c r="AA359" s="481"/>
      <c r="AB359" s="160"/>
      <c r="AC359" s="160"/>
      <c r="AD359" s="161"/>
      <c r="AE359" s="161"/>
      <c r="AF359" s="161"/>
    </row>
    <row r="360" spans="1:32" s="2" customFormat="1" ht="28.5" thickBot="1">
      <c r="A360" s="140">
        <v>121</v>
      </c>
      <c r="B360" s="30"/>
      <c r="C360" s="499" t="s">
        <v>538</v>
      </c>
      <c r="D360" s="500"/>
      <c r="E360" s="500"/>
      <c r="F360" s="500"/>
      <c r="G360" s="500"/>
      <c r="H360" s="500"/>
      <c r="I360" s="500"/>
      <c r="J360" s="500"/>
      <c r="K360" s="500"/>
      <c r="L360" s="500"/>
      <c r="M360" s="500"/>
      <c r="N360" s="500"/>
      <c r="O360" s="500"/>
      <c r="P360" s="500"/>
      <c r="Q360" s="500"/>
      <c r="R360" s="501"/>
      <c r="S360" s="33"/>
      <c r="T360" s="483"/>
      <c r="U360" s="483"/>
      <c r="V360" s="483"/>
      <c r="W360" s="483"/>
      <c r="X360" s="483"/>
      <c r="Y360" s="483"/>
      <c r="Z360" s="483"/>
      <c r="AA360" s="483"/>
      <c r="AB360" s="96"/>
      <c r="AC360" s="96"/>
    </row>
    <row r="361" spans="1:32" ht="30.75" customHeight="1">
      <c r="A361" s="143">
        <v>12101</v>
      </c>
      <c r="B361" s="133" t="s">
        <v>333</v>
      </c>
      <c r="C361" s="496"/>
      <c r="D361" s="497"/>
      <c r="E361" s="497"/>
      <c r="F361" s="498"/>
      <c r="G361" s="496"/>
      <c r="H361" s="497"/>
      <c r="I361" s="497"/>
      <c r="J361" s="498"/>
      <c r="K361" s="505">
        <f>IF(C361&gt;G361,C361-G361,0)</f>
        <v>0</v>
      </c>
      <c r="L361" s="503"/>
      <c r="M361" s="503"/>
      <c r="N361" s="504"/>
      <c r="O361" s="502">
        <f>IF(G361&gt;C361,G361-C361,0)</f>
        <v>0</v>
      </c>
      <c r="P361" s="503"/>
      <c r="Q361" s="503"/>
      <c r="R361" s="504"/>
      <c r="S361" s="32"/>
      <c r="T361" s="483" t="str">
        <f>IF(G361-C361=K362+K363+K364," ","مغایرت اداره کل اوراق بهادار با مخزن،اوراق بهادار مصرفی وتنخواه گردان اوراق بهادار")</f>
        <v xml:space="preserve"> </v>
      </c>
      <c r="U361" s="483"/>
      <c r="V361" s="483"/>
      <c r="W361" s="483"/>
      <c r="X361" s="483"/>
      <c r="Y361" s="483"/>
      <c r="Z361" s="483"/>
      <c r="AA361" s="483"/>
      <c r="AB361" s="483"/>
      <c r="AC361" s="483"/>
      <c r="AD361" s="161"/>
      <c r="AE361" s="161"/>
      <c r="AF361" s="161"/>
    </row>
    <row r="362" spans="1:32" ht="30.75" customHeight="1">
      <c r="A362" s="141">
        <v>12102</v>
      </c>
      <c r="B362" s="133" t="s">
        <v>334</v>
      </c>
      <c r="C362" s="496"/>
      <c r="D362" s="497"/>
      <c r="E362" s="497"/>
      <c r="F362" s="498"/>
      <c r="G362" s="496"/>
      <c r="H362" s="497"/>
      <c r="I362" s="497"/>
      <c r="J362" s="498"/>
      <c r="K362" s="505">
        <f>IF(C362&gt;G362,C362-G362,0)</f>
        <v>0</v>
      </c>
      <c r="L362" s="503"/>
      <c r="M362" s="503"/>
      <c r="N362" s="504"/>
      <c r="O362" s="502">
        <f>IF(G362&gt;C362,G362-C362,0)</f>
        <v>0</v>
      </c>
      <c r="P362" s="503"/>
      <c r="Q362" s="503"/>
      <c r="R362" s="504"/>
      <c r="S362" s="32"/>
      <c r="T362" s="483"/>
      <c r="U362" s="483"/>
      <c r="V362" s="483"/>
      <c r="W362" s="483"/>
      <c r="X362" s="483"/>
      <c r="Y362" s="483"/>
      <c r="Z362" s="483"/>
      <c r="AA362" s="483"/>
      <c r="AB362" s="160"/>
      <c r="AC362" s="160"/>
      <c r="AD362" s="161"/>
      <c r="AE362" s="161"/>
      <c r="AF362" s="161"/>
    </row>
    <row r="363" spans="1:32" ht="30.75" customHeight="1">
      <c r="A363" s="141">
        <v>12103</v>
      </c>
      <c r="B363" s="133" t="s">
        <v>335</v>
      </c>
      <c r="C363" s="496"/>
      <c r="D363" s="497"/>
      <c r="E363" s="497"/>
      <c r="F363" s="498"/>
      <c r="G363" s="496"/>
      <c r="H363" s="497"/>
      <c r="I363" s="497"/>
      <c r="J363" s="498"/>
      <c r="K363" s="505">
        <f>IF(C363&gt;G363,C363-G363,0)</f>
        <v>0</v>
      </c>
      <c r="L363" s="503"/>
      <c r="M363" s="503"/>
      <c r="N363" s="504"/>
      <c r="O363" s="502">
        <f>IF(G363&gt;C363,G363-C363,0)</f>
        <v>0</v>
      </c>
      <c r="P363" s="503"/>
      <c r="Q363" s="503"/>
      <c r="R363" s="504"/>
      <c r="S363" s="32"/>
      <c r="T363" s="483"/>
      <c r="U363" s="483"/>
      <c r="V363" s="483"/>
      <c r="W363" s="483"/>
      <c r="X363" s="483"/>
      <c r="Y363" s="483"/>
      <c r="Z363" s="483"/>
      <c r="AA363" s="483"/>
      <c r="AB363" s="160"/>
      <c r="AC363" s="160"/>
      <c r="AD363" s="161"/>
      <c r="AE363" s="161"/>
      <c r="AF363" s="161"/>
    </row>
    <row r="364" spans="1:32" ht="30.75" customHeight="1" thickBot="1">
      <c r="A364" s="142">
        <v>12104</v>
      </c>
      <c r="B364" s="134" t="s">
        <v>336</v>
      </c>
      <c r="C364" s="496"/>
      <c r="D364" s="497"/>
      <c r="E364" s="497"/>
      <c r="F364" s="498"/>
      <c r="G364" s="496"/>
      <c r="H364" s="497"/>
      <c r="I364" s="497"/>
      <c r="J364" s="498"/>
      <c r="K364" s="561">
        <f>IF(C364&gt;G364,C364-G364,0)</f>
        <v>0</v>
      </c>
      <c r="L364" s="562"/>
      <c r="M364" s="562"/>
      <c r="N364" s="563"/>
      <c r="O364" s="564">
        <f>IF(G364&gt;C364,G364-C364,0)</f>
        <v>0</v>
      </c>
      <c r="P364" s="562"/>
      <c r="Q364" s="562"/>
      <c r="R364" s="563"/>
      <c r="S364" s="32"/>
      <c r="T364" s="483"/>
      <c r="U364" s="483"/>
      <c r="V364" s="483"/>
      <c r="W364" s="483"/>
      <c r="X364" s="483"/>
      <c r="Y364" s="483"/>
      <c r="Z364" s="483"/>
      <c r="AA364" s="483"/>
      <c r="AB364" s="160"/>
      <c r="AC364" s="160"/>
      <c r="AD364" s="161"/>
      <c r="AE364" s="161"/>
      <c r="AF364" s="161"/>
    </row>
    <row r="365" spans="1:32" ht="30.75" customHeight="1" thickBot="1">
      <c r="A365" s="529" t="s">
        <v>127</v>
      </c>
      <c r="B365" s="530"/>
      <c r="C365" s="516">
        <f>SUM(C361:F364)</f>
        <v>0</v>
      </c>
      <c r="D365" s="517"/>
      <c r="E365" s="517"/>
      <c r="F365" s="518"/>
      <c r="G365" s="516">
        <f>SUM(G361:J364)</f>
        <v>0</v>
      </c>
      <c r="H365" s="517"/>
      <c r="I365" s="517"/>
      <c r="J365" s="517"/>
      <c r="K365" s="520">
        <f>SUM(K361:N364)</f>
        <v>0</v>
      </c>
      <c r="L365" s="517"/>
      <c r="M365" s="517"/>
      <c r="N365" s="518"/>
      <c r="O365" s="516">
        <f>SUM(O361:R364)</f>
        <v>0</v>
      </c>
      <c r="P365" s="517"/>
      <c r="Q365" s="517"/>
      <c r="R365" s="518"/>
      <c r="S365" s="32"/>
      <c r="T365" s="481" t="str">
        <f>IF(K365=O365," "," مغایرت جمع مانده بدهکار با جمع مانده بستانکار")</f>
        <v xml:space="preserve"> </v>
      </c>
      <c r="U365" s="481"/>
      <c r="V365" s="481"/>
      <c r="W365" s="481"/>
      <c r="X365" s="481"/>
      <c r="Y365" s="481"/>
      <c r="Z365" s="481"/>
      <c r="AA365" s="481"/>
      <c r="AB365" s="160"/>
      <c r="AC365" s="160"/>
      <c r="AD365" s="161"/>
      <c r="AE365" s="161"/>
      <c r="AF365" s="161"/>
    </row>
    <row r="366" spans="1:32" s="2" customFormat="1" ht="28.5" thickBot="1">
      <c r="A366" s="140">
        <v>122</v>
      </c>
      <c r="B366" s="30"/>
      <c r="C366" s="499" t="s">
        <v>539</v>
      </c>
      <c r="D366" s="500"/>
      <c r="E366" s="500"/>
      <c r="F366" s="500"/>
      <c r="G366" s="500"/>
      <c r="H366" s="500"/>
      <c r="I366" s="500"/>
      <c r="J366" s="500"/>
      <c r="K366" s="500"/>
      <c r="L366" s="500"/>
      <c r="M366" s="500"/>
      <c r="N366" s="500"/>
      <c r="O366" s="500"/>
      <c r="P366" s="500"/>
      <c r="Q366" s="500"/>
      <c r="R366" s="501"/>
      <c r="S366" s="33"/>
      <c r="T366" s="483"/>
      <c r="U366" s="483"/>
      <c r="V366" s="483"/>
      <c r="W366" s="483"/>
      <c r="X366" s="483"/>
      <c r="Y366" s="483"/>
      <c r="Z366" s="483"/>
      <c r="AA366" s="483"/>
      <c r="AB366" s="96"/>
      <c r="AC366" s="96"/>
    </row>
    <row r="367" spans="1:32" ht="30.75" customHeight="1">
      <c r="A367" s="143">
        <v>12201</v>
      </c>
      <c r="B367" s="133" t="s">
        <v>337</v>
      </c>
      <c r="C367" s="496"/>
      <c r="D367" s="497"/>
      <c r="E367" s="497"/>
      <c r="F367" s="498"/>
      <c r="G367" s="496"/>
      <c r="H367" s="497"/>
      <c r="I367" s="497"/>
      <c r="J367" s="498"/>
      <c r="K367" s="505">
        <f>IF(C367&gt;G367,C367-G367,0)</f>
        <v>0</v>
      </c>
      <c r="L367" s="503"/>
      <c r="M367" s="503"/>
      <c r="N367" s="504"/>
      <c r="O367" s="502">
        <f>IF(G367&gt;C367,G367-C367,0)</f>
        <v>0</v>
      </c>
      <c r="P367" s="503"/>
      <c r="Q367" s="503"/>
      <c r="R367" s="504"/>
      <c r="S367" s="32"/>
      <c r="T367" s="483"/>
      <c r="U367" s="483"/>
      <c r="V367" s="483"/>
      <c r="W367" s="483"/>
      <c r="X367" s="483"/>
      <c r="Y367" s="483"/>
      <c r="Z367" s="483"/>
      <c r="AA367" s="483"/>
      <c r="AB367" s="160"/>
      <c r="AC367" s="160"/>
      <c r="AD367" s="161"/>
      <c r="AE367" s="161"/>
      <c r="AF367" s="161"/>
    </row>
    <row r="368" spans="1:32" ht="30.75" customHeight="1">
      <c r="A368" s="141">
        <v>12202</v>
      </c>
      <c r="B368" s="133" t="s">
        <v>338</v>
      </c>
      <c r="C368" s="496"/>
      <c r="D368" s="497"/>
      <c r="E368" s="497"/>
      <c r="F368" s="498"/>
      <c r="G368" s="496"/>
      <c r="H368" s="497"/>
      <c r="I368" s="497"/>
      <c r="J368" s="498"/>
      <c r="K368" s="505">
        <f>IF(C368&gt;G368,C368-G368,0)</f>
        <v>0</v>
      </c>
      <c r="L368" s="503"/>
      <c r="M368" s="503"/>
      <c r="N368" s="504"/>
      <c r="O368" s="502">
        <f>IF(G368&gt;C368,G368-C368,0)</f>
        <v>0</v>
      </c>
      <c r="P368" s="503"/>
      <c r="Q368" s="503"/>
      <c r="R368" s="504"/>
      <c r="S368" s="32"/>
      <c r="T368" s="483"/>
      <c r="U368" s="483"/>
      <c r="V368" s="483"/>
      <c r="W368" s="483"/>
      <c r="X368" s="483"/>
      <c r="Y368" s="483"/>
      <c r="Z368" s="483"/>
      <c r="AA368" s="483"/>
      <c r="AB368" s="160"/>
      <c r="AC368" s="160"/>
      <c r="AD368" s="161"/>
      <c r="AE368" s="161"/>
      <c r="AF368" s="161"/>
    </row>
    <row r="369" spans="1:32" ht="30.75" customHeight="1">
      <c r="A369" s="141">
        <v>12203</v>
      </c>
      <c r="B369" s="133" t="s">
        <v>339</v>
      </c>
      <c r="C369" s="496"/>
      <c r="D369" s="497"/>
      <c r="E369" s="497"/>
      <c r="F369" s="498"/>
      <c r="G369" s="496"/>
      <c r="H369" s="497"/>
      <c r="I369" s="497"/>
      <c r="J369" s="498"/>
      <c r="K369" s="505">
        <f>IF(C369&gt;G369,C369-G369,0)</f>
        <v>0</v>
      </c>
      <c r="L369" s="503"/>
      <c r="M369" s="503"/>
      <c r="N369" s="504"/>
      <c r="O369" s="502">
        <f>IF(G369&gt;C369,G369-C369,0)</f>
        <v>0</v>
      </c>
      <c r="P369" s="503"/>
      <c r="Q369" s="503"/>
      <c r="R369" s="504"/>
      <c r="S369" s="32"/>
      <c r="T369" s="483"/>
      <c r="U369" s="483"/>
      <c r="V369" s="483"/>
      <c r="W369" s="483"/>
      <c r="X369" s="483"/>
      <c r="Y369" s="483"/>
      <c r="Z369" s="483"/>
      <c r="AA369" s="483"/>
      <c r="AB369" s="160"/>
      <c r="AC369" s="160"/>
      <c r="AD369" s="161"/>
      <c r="AE369" s="161"/>
      <c r="AF369" s="161"/>
    </row>
    <row r="370" spans="1:32" ht="30.75" customHeight="1">
      <c r="A370" s="141">
        <v>12204</v>
      </c>
      <c r="B370" s="133" t="s">
        <v>340</v>
      </c>
      <c r="C370" s="496"/>
      <c r="D370" s="497"/>
      <c r="E370" s="497"/>
      <c r="F370" s="498"/>
      <c r="G370" s="496"/>
      <c r="H370" s="497"/>
      <c r="I370" s="497"/>
      <c r="J370" s="498"/>
      <c r="K370" s="505">
        <f>IF(C370&gt;G370,C370-G370,0)</f>
        <v>0</v>
      </c>
      <c r="L370" s="503"/>
      <c r="M370" s="503"/>
      <c r="N370" s="504"/>
      <c r="O370" s="502">
        <f>IF(G370&gt;C370,G370-C370,0)</f>
        <v>0</v>
      </c>
      <c r="P370" s="503"/>
      <c r="Q370" s="503"/>
      <c r="R370" s="504"/>
      <c r="S370" s="32"/>
      <c r="T370" s="483"/>
      <c r="U370" s="483"/>
      <c r="V370" s="483"/>
      <c r="W370" s="483"/>
      <c r="X370" s="483"/>
      <c r="Y370" s="483"/>
      <c r="Z370" s="483"/>
      <c r="AA370" s="483"/>
      <c r="AB370" s="160"/>
      <c r="AC370" s="160"/>
      <c r="AD370" s="161"/>
      <c r="AE370" s="161"/>
      <c r="AF370" s="161"/>
    </row>
    <row r="371" spans="1:32" ht="30.75" customHeight="1" thickBot="1">
      <c r="A371" s="142">
        <v>12205</v>
      </c>
      <c r="B371" s="134" t="s">
        <v>341</v>
      </c>
      <c r="C371" s="496"/>
      <c r="D371" s="497"/>
      <c r="E371" s="497"/>
      <c r="F371" s="498"/>
      <c r="G371" s="496"/>
      <c r="H371" s="497"/>
      <c r="I371" s="497"/>
      <c r="J371" s="498"/>
      <c r="K371" s="561">
        <f>IF(C371&gt;G371,C371-G371,0)</f>
        <v>0</v>
      </c>
      <c r="L371" s="562"/>
      <c r="M371" s="562"/>
      <c r="N371" s="563"/>
      <c r="O371" s="564">
        <f>IF(G371&gt;C371,G371-C371,0)</f>
        <v>0</v>
      </c>
      <c r="P371" s="562"/>
      <c r="Q371" s="562"/>
      <c r="R371" s="563"/>
      <c r="S371" s="32"/>
      <c r="T371" s="483"/>
      <c r="U371" s="483"/>
      <c r="V371" s="483"/>
      <c r="W371" s="483"/>
      <c r="X371" s="483"/>
      <c r="Y371" s="483"/>
      <c r="Z371" s="483"/>
      <c r="AA371" s="483"/>
      <c r="AB371" s="160"/>
      <c r="AC371" s="160"/>
      <c r="AD371" s="161"/>
      <c r="AE371" s="161"/>
      <c r="AF371" s="161"/>
    </row>
    <row r="372" spans="1:32" ht="30.75" customHeight="1" thickBot="1">
      <c r="A372" s="529" t="s">
        <v>127</v>
      </c>
      <c r="B372" s="530"/>
      <c r="C372" s="516">
        <f>SUM(C367:F371)</f>
        <v>0</v>
      </c>
      <c r="D372" s="517"/>
      <c r="E372" s="517"/>
      <c r="F372" s="518"/>
      <c r="G372" s="516">
        <f>SUM(G367:J371)</f>
        <v>0</v>
      </c>
      <c r="H372" s="517"/>
      <c r="I372" s="517"/>
      <c r="J372" s="517"/>
      <c r="K372" s="520">
        <f>SUM(K367:N371)</f>
        <v>0</v>
      </c>
      <c r="L372" s="517"/>
      <c r="M372" s="517"/>
      <c r="N372" s="518"/>
      <c r="O372" s="516">
        <f>SUM(O367:R371)</f>
        <v>0</v>
      </c>
      <c r="P372" s="517"/>
      <c r="Q372" s="517"/>
      <c r="R372" s="518"/>
      <c r="S372" s="32"/>
      <c r="T372" s="481" t="str">
        <f>IF(K372=O372," "," مغایرت جمع مانده بدهکار با جمع مانده بستانکار")</f>
        <v xml:space="preserve"> </v>
      </c>
      <c r="U372" s="481"/>
      <c r="V372" s="481"/>
      <c r="W372" s="481"/>
      <c r="X372" s="481"/>
      <c r="Y372" s="481"/>
      <c r="Z372" s="481"/>
      <c r="AA372" s="481"/>
      <c r="AB372" s="160"/>
      <c r="AC372" s="160"/>
      <c r="AD372" s="161"/>
      <c r="AE372" s="161"/>
      <c r="AF372" s="161"/>
    </row>
    <row r="373" spans="1:32" s="2" customFormat="1" ht="28.5" thickBot="1">
      <c r="A373" s="140">
        <v>123</v>
      </c>
      <c r="B373" s="30"/>
      <c r="C373" s="499" t="s">
        <v>540</v>
      </c>
      <c r="D373" s="500"/>
      <c r="E373" s="500"/>
      <c r="F373" s="500"/>
      <c r="G373" s="500"/>
      <c r="H373" s="500"/>
      <c r="I373" s="500"/>
      <c r="J373" s="500"/>
      <c r="K373" s="500"/>
      <c r="L373" s="500"/>
      <c r="M373" s="500"/>
      <c r="N373" s="500"/>
      <c r="O373" s="500"/>
      <c r="P373" s="500"/>
      <c r="Q373" s="500"/>
      <c r="R373" s="501"/>
      <c r="S373" s="33"/>
      <c r="T373" s="483"/>
      <c r="U373" s="483"/>
      <c r="V373" s="483"/>
      <c r="W373" s="483"/>
      <c r="X373" s="483"/>
      <c r="Y373" s="483"/>
      <c r="Z373" s="483"/>
      <c r="AA373" s="483"/>
      <c r="AB373" s="96"/>
      <c r="AC373" s="96"/>
    </row>
    <row r="374" spans="1:32" ht="30.75" customHeight="1">
      <c r="A374" s="143">
        <v>12301</v>
      </c>
      <c r="B374" s="133" t="s">
        <v>342</v>
      </c>
      <c r="C374" s="496"/>
      <c r="D374" s="497"/>
      <c r="E374" s="497"/>
      <c r="F374" s="498"/>
      <c r="G374" s="496"/>
      <c r="H374" s="497"/>
      <c r="I374" s="497"/>
      <c r="J374" s="498"/>
      <c r="K374" s="505">
        <f>IF(C374&gt;G374,C374-G374,0)</f>
        <v>0</v>
      </c>
      <c r="L374" s="503"/>
      <c r="M374" s="503"/>
      <c r="N374" s="504"/>
      <c r="O374" s="502">
        <f>IF(G374&gt;C374,G374-C374,0)</f>
        <v>0</v>
      </c>
      <c r="P374" s="503"/>
      <c r="Q374" s="503"/>
      <c r="R374" s="504"/>
      <c r="S374" s="32"/>
      <c r="T374" s="483"/>
      <c r="U374" s="483"/>
      <c r="V374" s="483"/>
      <c r="W374" s="483"/>
      <c r="X374" s="483"/>
      <c r="Y374" s="483"/>
      <c r="Z374" s="483"/>
      <c r="AA374" s="483"/>
      <c r="AB374" s="160"/>
      <c r="AC374" s="160"/>
      <c r="AD374" s="161"/>
      <c r="AE374" s="161"/>
      <c r="AF374" s="161"/>
    </row>
    <row r="375" spans="1:32" ht="30.75" customHeight="1">
      <c r="A375" s="141">
        <v>12302</v>
      </c>
      <c r="B375" s="133" t="s">
        <v>343</v>
      </c>
      <c r="C375" s="496"/>
      <c r="D375" s="497"/>
      <c r="E375" s="497"/>
      <c r="F375" s="498"/>
      <c r="G375" s="496"/>
      <c r="H375" s="497"/>
      <c r="I375" s="497"/>
      <c r="J375" s="498"/>
      <c r="K375" s="505">
        <f>IF(C375&gt;G375,C375-G375,0)</f>
        <v>0</v>
      </c>
      <c r="L375" s="503"/>
      <c r="M375" s="503"/>
      <c r="N375" s="504"/>
      <c r="O375" s="502">
        <f>IF(G375&gt;C375,G375-C375,0)</f>
        <v>0</v>
      </c>
      <c r="P375" s="503"/>
      <c r="Q375" s="503"/>
      <c r="R375" s="504"/>
      <c r="S375" s="32"/>
      <c r="T375" s="483"/>
      <c r="U375" s="483"/>
      <c r="V375" s="483"/>
      <c r="W375" s="483"/>
      <c r="X375" s="483"/>
      <c r="Y375" s="483"/>
      <c r="Z375" s="483"/>
      <c r="AA375" s="483"/>
      <c r="AB375" s="160"/>
      <c r="AC375" s="160"/>
      <c r="AD375" s="161"/>
      <c r="AE375" s="161"/>
      <c r="AF375" s="161"/>
    </row>
    <row r="376" spans="1:32" ht="30.75" customHeight="1">
      <c r="A376" s="141">
        <v>12303</v>
      </c>
      <c r="B376" s="133" t="s">
        <v>344</v>
      </c>
      <c r="C376" s="496"/>
      <c r="D376" s="497"/>
      <c r="E376" s="497"/>
      <c r="F376" s="498"/>
      <c r="G376" s="496"/>
      <c r="H376" s="497"/>
      <c r="I376" s="497"/>
      <c r="J376" s="498"/>
      <c r="K376" s="505">
        <f t="shared" ref="K376:K388" si="43">IF(C376&gt;G376,C376-G376,0)</f>
        <v>0</v>
      </c>
      <c r="L376" s="503"/>
      <c r="M376" s="503"/>
      <c r="N376" s="504"/>
      <c r="O376" s="502">
        <f t="shared" ref="O376:O388" si="44">IF(G376&gt;C376,G376-C376,0)</f>
        <v>0</v>
      </c>
      <c r="P376" s="503"/>
      <c r="Q376" s="503"/>
      <c r="R376" s="504"/>
      <c r="S376" s="32"/>
      <c r="T376" s="483"/>
      <c r="U376" s="483"/>
      <c r="V376" s="483"/>
      <c r="W376" s="483"/>
      <c r="X376" s="483"/>
      <c r="Y376" s="483"/>
      <c r="Z376" s="483"/>
      <c r="AA376" s="483"/>
      <c r="AB376" s="160"/>
      <c r="AC376" s="160"/>
      <c r="AD376" s="161"/>
      <c r="AE376" s="161"/>
      <c r="AF376" s="161"/>
    </row>
    <row r="377" spans="1:32" ht="30.75" customHeight="1">
      <c r="A377" s="141">
        <v>12304</v>
      </c>
      <c r="B377" s="133" t="s">
        <v>345</v>
      </c>
      <c r="C377" s="496"/>
      <c r="D377" s="497"/>
      <c r="E377" s="497"/>
      <c r="F377" s="498"/>
      <c r="G377" s="496"/>
      <c r="H377" s="497"/>
      <c r="I377" s="497"/>
      <c r="J377" s="498"/>
      <c r="K377" s="505">
        <f t="shared" si="43"/>
        <v>0</v>
      </c>
      <c r="L377" s="503"/>
      <c r="M377" s="503"/>
      <c r="N377" s="504"/>
      <c r="O377" s="502">
        <f t="shared" si="44"/>
        <v>0</v>
      </c>
      <c r="P377" s="503"/>
      <c r="Q377" s="503"/>
      <c r="R377" s="504"/>
      <c r="S377" s="32"/>
      <c r="T377" s="483"/>
      <c r="U377" s="483"/>
      <c r="V377" s="483"/>
      <c r="W377" s="483"/>
      <c r="X377" s="483"/>
      <c r="Y377" s="483"/>
      <c r="Z377" s="483"/>
      <c r="AA377" s="483"/>
      <c r="AB377" s="160"/>
      <c r="AC377" s="160"/>
      <c r="AD377" s="161"/>
      <c r="AE377" s="161"/>
      <c r="AF377" s="161"/>
    </row>
    <row r="378" spans="1:32" ht="30.75" customHeight="1">
      <c r="A378" s="141">
        <v>12305</v>
      </c>
      <c r="B378" s="133" t="s">
        <v>346</v>
      </c>
      <c r="C378" s="496"/>
      <c r="D378" s="497"/>
      <c r="E378" s="497"/>
      <c r="F378" s="498"/>
      <c r="G378" s="496"/>
      <c r="H378" s="497"/>
      <c r="I378" s="497"/>
      <c r="J378" s="498"/>
      <c r="K378" s="505">
        <f t="shared" si="43"/>
        <v>0</v>
      </c>
      <c r="L378" s="503"/>
      <c r="M378" s="503"/>
      <c r="N378" s="504"/>
      <c r="O378" s="502">
        <f t="shared" si="44"/>
        <v>0</v>
      </c>
      <c r="P378" s="503"/>
      <c r="Q378" s="503"/>
      <c r="R378" s="504"/>
      <c r="S378" s="32"/>
      <c r="T378" s="483"/>
      <c r="U378" s="483"/>
      <c r="V378" s="483"/>
      <c r="W378" s="483"/>
      <c r="X378" s="483"/>
      <c r="Y378" s="483"/>
      <c r="Z378" s="483"/>
      <c r="AA378" s="483"/>
      <c r="AB378" s="160"/>
      <c r="AC378" s="160"/>
      <c r="AD378" s="161"/>
      <c r="AE378" s="161"/>
      <c r="AF378" s="161"/>
    </row>
    <row r="379" spans="1:32" ht="30.75" customHeight="1">
      <c r="A379" s="141">
        <v>12306</v>
      </c>
      <c r="B379" s="133" t="s">
        <v>347</v>
      </c>
      <c r="C379" s="496"/>
      <c r="D379" s="497"/>
      <c r="E379" s="497"/>
      <c r="F379" s="498"/>
      <c r="G379" s="496"/>
      <c r="H379" s="497"/>
      <c r="I379" s="497"/>
      <c r="J379" s="498"/>
      <c r="K379" s="505">
        <f t="shared" si="43"/>
        <v>0</v>
      </c>
      <c r="L379" s="503"/>
      <c r="M379" s="503"/>
      <c r="N379" s="504"/>
      <c r="O379" s="502">
        <f t="shared" si="44"/>
        <v>0</v>
      </c>
      <c r="P379" s="503"/>
      <c r="Q379" s="503"/>
      <c r="R379" s="504"/>
      <c r="S379" s="32"/>
      <c r="T379" s="483"/>
      <c r="U379" s="483"/>
      <c r="V379" s="483"/>
      <c r="W379" s="483"/>
      <c r="X379" s="483"/>
      <c r="Y379" s="483"/>
      <c r="Z379" s="483"/>
      <c r="AA379" s="483"/>
      <c r="AB379" s="160"/>
      <c r="AC379" s="160"/>
      <c r="AD379" s="161"/>
      <c r="AE379" s="161"/>
      <c r="AF379" s="161"/>
    </row>
    <row r="380" spans="1:32" ht="30.75" customHeight="1">
      <c r="A380" s="141">
        <v>12307</v>
      </c>
      <c r="B380" s="133" t="s">
        <v>348</v>
      </c>
      <c r="C380" s="496"/>
      <c r="D380" s="497"/>
      <c r="E380" s="497"/>
      <c r="F380" s="498"/>
      <c r="G380" s="496"/>
      <c r="H380" s="497"/>
      <c r="I380" s="497"/>
      <c r="J380" s="498"/>
      <c r="K380" s="505">
        <f t="shared" si="43"/>
        <v>0</v>
      </c>
      <c r="L380" s="503"/>
      <c r="M380" s="503"/>
      <c r="N380" s="504"/>
      <c r="O380" s="502">
        <f t="shared" si="44"/>
        <v>0</v>
      </c>
      <c r="P380" s="503"/>
      <c r="Q380" s="503"/>
      <c r="R380" s="504"/>
      <c r="S380" s="32"/>
      <c r="T380" s="483"/>
      <c r="U380" s="483"/>
      <c r="V380" s="483"/>
      <c r="W380" s="483"/>
      <c r="X380" s="483"/>
      <c r="Y380" s="483"/>
      <c r="Z380" s="483"/>
      <c r="AA380" s="483"/>
      <c r="AB380" s="160"/>
      <c r="AC380" s="160"/>
      <c r="AD380" s="161"/>
      <c r="AE380" s="161"/>
      <c r="AF380" s="161"/>
    </row>
    <row r="381" spans="1:32" ht="30.75" customHeight="1">
      <c r="A381" s="141">
        <v>12308</v>
      </c>
      <c r="B381" s="133" t="s">
        <v>349</v>
      </c>
      <c r="C381" s="496"/>
      <c r="D381" s="497"/>
      <c r="E381" s="497"/>
      <c r="F381" s="498"/>
      <c r="G381" s="496"/>
      <c r="H381" s="497"/>
      <c r="I381" s="497"/>
      <c r="J381" s="498"/>
      <c r="K381" s="505">
        <f t="shared" si="43"/>
        <v>0</v>
      </c>
      <c r="L381" s="503"/>
      <c r="M381" s="503"/>
      <c r="N381" s="504"/>
      <c r="O381" s="502">
        <f t="shared" si="44"/>
        <v>0</v>
      </c>
      <c r="P381" s="503"/>
      <c r="Q381" s="503"/>
      <c r="R381" s="504"/>
      <c r="S381" s="32"/>
      <c r="T381" s="483"/>
      <c r="U381" s="483"/>
      <c r="V381" s="483"/>
      <c r="W381" s="483"/>
      <c r="X381" s="483"/>
      <c r="Y381" s="483"/>
      <c r="Z381" s="483"/>
      <c r="AA381" s="483"/>
      <c r="AB381" s="160"/>
      <c r="AC381" s="160"/>
      <c r="AD381" s="161"/>
      <c r="AE381" s="161"/>
      <c r="AF381" s="161"/>
    </row>
    <row r="382" spans="1:32" ht="30.75" customHeight="1">
      <c r="A382" s="141">
        <v>12309</v>
      </c>
      <c r="B382" s="133" t="s">
        <v>350</v>
      </c>
      <c r="C382" s="496"/>
      <c r="D382" s="497"/>
      <c r="E382" s="497"/>
      <c r="F382" s="498"/>
      <c r="G382" s="496"/>
      <c r="H382" s="497"/>
      <c r="I382" s="497"/>
      <c r="J382" s="498"/>
      <c r="K382" s="505">
        <f t="shared" si="43"/>
        <v>0</v>
      </c>
      <c r="L382" s="503"/>
      <c r="M382" s="503"/>
      <c r="N382" s="504"/>
      <c r="O382" s="502">
        <f t="shared" si="44"/>
        <v>0</v>
      </c>
      <c r="P382" s="503"/>
      <c r="Q382" s="503"/>
      <c r="R382" s="504"/>
      <c r="S382" s="32"/>
      <c r="T382" s="483"/>
      <c r="U382" s="483"/>
      <c r="V382" s="483"/>
      <c r="W382" s="483"/>
      <c r="X382" s="483"/>
      <c r="Y382" s="483"/>
      <c r="Z382" s="483"/>
      <c r="AA382" s="483"/>
      <c r="AB382" s="160"/>
      <c r="AC382" s="160"/>
      <c r="AD382" s="161"/>
      <c r="AE382" s="161"/>
      <c r="AF382" s="161"/>
    </row>
    <row r="383" spans="1:32" ht="30.75" customHeight="1">
      <c r="A383" s="141">
        <v>12310</v>
      </c>
      <c r="B383" s="133" t="s">
        <v>351</v>
      </c>
      <c r="C383" s="496"/>
      <c r="D383" s="497"/>
      <c r="E383" s="497"/>
      <c r="F383" s="498"/>
      <c r="G383" s="496"/>
      <c r="H383" s="497"/>
      <c r="I383" s="497"/>
      <c r="J383" s="498"/>
      <c r="K383" s="505">
        <f t="shared" si="43"/>
        <v>0</v>
      </c>
      <c r="L383" s="503"/>
      <c r="M383" s="503"/>
      <c r="N383" s="504"/>
      <c r="O383" s="502">
        <f t="shared" si="44"/>
        <v>0</v>
      </c>
      <c r="P383" s="503"/>
      <c r="Q383" s="503"/>
      <c r="R383" s="504"/>
      <c r="S383" s="32"/>
      <c r="T383" s="483"/>
      <c r="U383" s="483"/>
      <c r="V383" s="483"/>
      <c r="W383" s="483"/>
      <c r="X383" s="483"/>
      <c r="Y383" s="483"/>
      <c r="Z383" s="483"/>
      <c r="AA383" s="483"/>
      <c r="AB383" s="160"/>
      <c r="AC383" s="160"/>
      <c r="AD383" s="161"/>
      <c r="AE383" s="161"/>
      <c r="AF383" s="161"/>
    </row>
    <row r="384" spans="1:32" ht="30.75" customHeight="1">
      <c r="A384" s="141">
        <v>12311</v>
      </c>
      <c r="B384" s="133" t="s">
        <v>352</v>
      </c>
      <c r="C384" s="496"/>
      <c r="D384" s="497"/>
      <c r="E384" s="497"/>
      <c r="F384" s="498"/>
      <c r="G384" s="496"/>
      <c r="H384" s="497"/>
      <c r="I384" s="497"/>
      <c r="J384" s="498"/>
      <c r="K384" s="505">
        <f t="shared" si="43"/>
        <v>0</v>
      </c>
      <c r="L384" s="503"/>
      <c r="M384" s="503"/>
      <c r="N384" s="504"/>
      <c r="O384" s="502">
        <f t="shared" si="44"/>
        <v>0</v>
      </c>
      <c r="P384" s="503"/>
      <c r="Q384" s="503"/>
      <c r="R384" s="504"/>
      <c r="S384" s="32"/>
      <c r="T384" s="483"/>
      <c r="U384" s="483"/>
      <c r="V384" s="483"/>
      <c r="W384" s="483"/>
      <c r="X384" s="483"/>
      <c r="Y384" s="483"/>
      <c r="Z384" s="483"/>
      <c r="AA384" s="483"/>
      <c r="AB384" s="160"/>
      <c r="AC384" s="160"/>
      <c r="AD384" s="161"/>
      <c r="AE384" s="161"/>
      <c r="AF384" s="161"/>
    </row>
    <row r="385" spans="1:32" ht="30.75" customHeight="1">
      <c r="A385" s="141">
        <v>12312</v>
      </c>
      <c r="B385" s="133" t="s">
        <v>353</v>
      </c>
      <c r="C385" s="496"/>
      <c r="D385" s="497"/>
      <c r="E385" s="497"/>
      <c r="F385" s="498"/>
      <c r="G385" s="496"/>
      <c r="H385" s="497"/>
      <c r="I385" s="497"/>
      <c r="J385" s="498"/>
      <c r="K385" s="505">
        <f t="shared" si="43"/>
        <v>0</v>
      </c>
      <c r="L385" s="503"/>
      <c r="M385" s="503"/>
      <c r="N385" s="504"/>
      <c r="O385" s="502">
        <f t="shared" si="44"/>
        <v>0</v>
      </c>
      <c r="P385" s="503"/>
      <c r="Q385" s="503"/>
      <c r="R385" s="504"/>
      <c r="S385" s="32"/>
      <c r="T385" s="483"/>
      <c r="U385" s="483"/>
      <c r="V385" s="483"/>
      <c r="W385" s="483"/>
      <c r="X385" s="483"/>
      <c r="Y385" s="483"/>
      <c r="Z385" s="483"/>
      <c r="AA385" s="483"/>
      <c r="AB385" s="160"/>
      <c r="AC385" s="160"/>
      <c r="AD385" s="161"/>
      <c r="AE385" s="161"/>
      <c r="AF385" s="161"/>
    </row>
    <row r="386" spans="1:32" ht="30.75" customHeight="1">
      <c r="A386" s="141">
        <v>12313</v>
      </c>
      <c r="B386" s="133" t="s">
        <v>354</v>
      </c>
      <c r="C386" s="496"/>
      <c r="D386" s="497"/>
      <c r="E386" s="497"/>
      <c r="F386" s="498"/>
      <c r="G386" s="496"/>
      <c r="H386" s="497"/>
      <c r="I386" s="497"/>
      <c r="J386" s="498"/>
      <c r="K386" s="505">
        <f t="shared" si="43"/>
        <v>0</v>
      </c>
      <c r="L386" s="503"/>
      <c r="M386" s="503"/>
      <c r="N386" s="504"/>
      <c r="O386" s="502">
        <f t="shared" si="44"/>
        <v>0</v>
      </c>
      <c r="P386" s="503"/>
      <c r="Q386" s="503"/>
      <c r="R386" s="504"/>
      <c r="S386" s="32"/>
      <c r="T386" s="483"/>
      <c r="U386" s="483"/>
      <c r="V386" s="483"/>
      <c r="W386" s="483"/>
      <c r="X386" s="483"/>
      <c r="Y386" s="483"/>
      <c r="Z386" s="483"/>
      <c r="AA386" s="483"/>
      <c r="AB386" s="160"/>
      <c r="AC386" s="160"/>
      <c r="AD386" s="161"/>
      <c r="AE386" s="161"/>
      <c r="AF386" s="161"/>
    </row>
    <row r="387" spans="1:32" ht="30.75" customHeight="1">
      <c r="A387" s="141">
        <v>12314</v>
      </c>
      <c r="B387" s="133" t="s">
        <v>355</v>
      </c>
      <c r="C387" s="496"/>
      <c r="D387" s="497"/>
      <c r="E387" s="497"/>
      <c r="F387" s="498"/>
      <c r="G387" s="496"/>
      <c r="H387" s="497"/>
      <c r="I387" s="497"/>
      <c r="J387" s="498"/>
      <c r="K387" s="505">
        <f t="shared" si="43"/>
        <v>0</v>
      </c>
      <c r="L387" s="503"/>
      <c r="M387" s="503"/>
      <c r="N387" s="504"/>
      <c r="O387" s="502">
        <f t="shared" si="44"/>
        <v>0</v>
      </c>
      <c r="P387" s="503"/>
      <c r="Q387" s="503"/>
      <c r="R387" s="504"/>
      <c r="S387" s="32"/>
      <c r="T387" s="483"/>
      <c r="U387" s="483"/>
      <c r="V387" s="483"/>
      <c r="W387" s="483"/>
      <c r="X387" s="483"/>
      <c r="Y387" s="483"/>
      <c r="Z387" s="483"/>
      <c r="AA387" s="483"/>
      <c r="AB387" s="160"/>
      <c r="AC387" s="160"/>
      <c r="AD387" s="161"/>
      <c r="AE387" s="161"/>
      <c r="AF387" s="161"/>
    </row>
    <row r="388" spans="1:32" ht="30.75" customHeight="1" thickBot="1">
      <c r="A388" s="142">
        <v>12315</v>
      </c>
      <c r="B388" s="136" t="s">
        <v>132</v>
      </c>
      <c r="C388" s="524"/>
      <c r="D388" s="525"/>
      <c r="E388" s="525"/>
      <c r="F388" s="526"/>
      <c r="G388" s="524"/>
      <c r="H388" s="525"/>
      <c r="I388" s="525"/>
      <c r="J388" s="552"/>
      <c r="K388" s="548">
        <f t="shared" si="43"/>
        <v>0</v>
      </c>
      <c r="L388" s="549"/>
      <c r="M388" s="549"/>
      <c r="N388" s="550"/>
      <c r="O388" s="551">
        <f t="shared" si="44"/>
        <v>0</v>
      </c>
      <c r="P388" s="549"/>
      <c r="Q388" s="549"/>
      <c r="R388" s="550"/>
      <c r="S388" s="32"/>
      <c r="T388" s="483"/>
      <c r="U388" s="483"/>
      <c r="V388" s="483"/>
      <c r="W388" s="483"/>
      <c r="X388" s="483"/>
      <c r="Y388" s="483"/>
      <c r="Z388" s="483"/>
      <c r="AA388" s="483"/>
      <c r="AB388" s="160"/>
      <c r="AC388" s="160"/>
      <c r="AD388" s="161"/>
      <c r="AE388" s="161"/>
      <c r="AF388" s="161"/>
    </row>
    <row r="389" spans="1:32" ht="30.75" customHeight="1" thickBot="1">
      <c r="A389" s="529" t="s">
        <v>127</v>
      </c>
      <c r="B389" s="530"/>
      <c r="C389" s="521">
        <f>SUM(C374:F388)</f>
        <v>0</v>
      </c>
      <c r="D389" s="522"/>
      <c r="E389" s="522"/>
      <c r="F389" s="523"/>
      <c r="G389" s="559">
        <f>SUM(G374:J388)</f>
        <v>0</v>
      </c>
      <c r="H389" s="557"/>
      <c r="I389" s="557"/>
      <c r="J389" s="560"/>
      <c r="K389" s="522">
        <f>SUM(K374:N388)</f>
        <v>0</v>
      </c>
      <c r="L389" s="522"/>
      <c r="M389" s="522"/>
      <c r="N389" s="523"/>
      <c r="O389" s="521">
        <f>SUM(O374:R388)</f>
        <v>0</v>
      </c>
      <c r="P389" s="522"/>
      <c r="Q389" s="522"/>
      <c r="R389" s="523"/>
      <c r="S389" s="32"/>
      <c r="T389" s="481" t="str">
        <f>IF(K389=O389," "," مغایرت جمع مانده بدهکار با جمع مانده بستانکار")</f>
        <v xml:space="preserve"> </v>
      </c>
      <c r="U389" s="481"/>
      <c r="V389" s="481"/>
      <c r="W389" s="481"/>
      <c r="X389" s="481"/>
      <c r="Y389" s="481"/>
      <c r="Z389" s="481"/>
      <c r="AA389" s="481"/>
      <c r="AB389" s="160"/>
      <c r="AC389" s="160"/>
      <c r="AD389" s="161"/>
      <c r="AE389" s="161"/>
      <c r="AF389" s="161"/>
    </row>
    <row r="390" spans="1:32" s="2" customFormat="1" ht="28.5" thickBot="1">
      <c r="A390" s="140">
        <v>124</v>
      </c>
      <c r="B390" s="30"/>
      <c r="C390" s="499" t="s">
        <v>541</v>
      </c>
      <c r="D390" s="500"/>
      <c r="E390" s="500"/>
      <c r="F390" s="500"/>
      <c r="G390" s="500"/>
      <c r="H390" s="500"/>
      <c r="I390" s="500"/>
      <c r="J390" s="500"/>
      <c r="K390" s="500"/>
      <c r="L390" s="500"/>
      <c r="M390" s="500"/>
      <c r="N390" s="500"/>
      <c r="O390" s="500"/>
      <c r="P390" s="500"/>
      <c r="Q390" s="500"/>
      <c r="R390" s="501"/>
      <c r="S390" s="33"/>
      <c r="T390" s="483"/>
      <c r="U390" s="483"/>
      <c r="V390" s="483"/>
      <c r="W390" s="483"/>
      <c r="X390" s="483"/>
      <c r="Y390" s="483"/>
      <c r="Z390" s="483"/>
      <c r="AA390" s="483"/>
      <c r="AB390" s="96"/>
      <c r="AC390" s="96"/>
    </row>
    <row r="391" spans="1:32" ht="30.75" customHeight="1">
      <c r="A391" s="143">
        <v>12401</v>
      </c>
      <c r="B391" s="133" t="s">
        <v>356</v>
      </c>
      <c r="C391" s="496"/>
      <c r="D391" s="497"/>
      <c r="E391" s="497"/>
      <c r="F391" s="498"/>
      <c r="G391" s="496"/>
      <c r="H391" s="497"/>
      <c r="I391" s="497"/>
      <c r="J391" s="498"/>
      <c r="K391" s="505">
        <f t="shared" ref="K391:K396" si="45">IF(C391&gt;G391,C391-G391,0)</f>
        <v>0</v>
      </c>
      <c r="L391" s="503"/>
      <c r="M391" s="503"/>
      <c r="N391" s="504"/>
      <c r="O391" s="502">
        <f t="shared" ref="O391:O396" si="46">IF(G391&gt;C391,G391-C391,0)</f>
        <v>0</v>
      </c>
      <c r="P391" s="503"/>
      <c r="Q391" s="503"/>
      <c r="R391" s="504"/>
      <c r="S391" s="32"/>
      <c r="T391" s="483"/>
      <c r="U391" s="483"/>
      <c r="V391" s="483"/>
      <c r="W391" s="483"/>
      <c r="X391" s="483"/>
      <c r="Y391" s="483"/>
      <c r="Z391" s="483"/>
      <c r="AA391" s="483"/>
      <c r="AB391" s="160"/>
      <c r="AC391" s="160"/>
      <c r="AD391" s="161"/>
      <c r="AE391" s="161"/>
      <c r="AF391" s="161"/>
    </row>
    <row r="392" spans="1:32" ht="30.75" customHeight="1">
      <c r="A392" s="141">
        <v>12402</v>
      </c>
      <c r="B392" s="133" t="s">
        <v>357</v>
      </c>
      <c r="C392" s="496"/>
      <c r="D392" s="497"/>
      <c r="E392" s="497"/>
      <c r="F392" s="498"/>
      <c r="G392" s="496"/>
      <c r="H392" s="497"/>
      <c r="I392" s="497"/>
      <c r="J392" s="498"/>
      <c r="K392" s="505">
        <f t="shared" si="45"/>
        <v>0</v>
      </c>
      <c r="L392" s="503"/>
      <c r="M392" s="503"/>
      <c r="N392" s="504"/>
      <c r="O392" s="502">
        <f t="shared" si="46"/>
        <v>0</v>
      </c>
      <c r="P392" s="503"/>
      <c r="Q392" s="503"/>
      <c r="R392" s="504"/>
      <c r="S392" s="32"/>
      <c r="T392" s="483"/>
      <c r="U392" s="483"/>
      <c r="V392" s="483"/>
      <c r="W392" s="483"/>
      <c r="X392" s="483"/>
      <c r="Y392" s="483"/>
      <c r="Z392" s="483"/>
      <c r="AA392" s="483"/>
      <c r="AB392" s="160"/>
      <c r="AC392" s="160"/>
      <c r="AD392" s="161"/>
      <c r="AE392" s="161"/>
      <c r="AF392" s="161"/>
    </row>
    <row r="393" spans="1:32" ht="30.75" customHeight="1">
      <c r="A393" s="141">
        <v>12403</v>
      </c>
      <c r="B393" s="133" t="s">
        <v>358</v>
      </c>
      <c r="C393" s="496"/>
      <c r="D393" s="497"/>
      <c r="E393" s="497"/>
      <c r="F393" s="498"/>
      <c r="G393" s="496"/>
      <c r="H393" s="497"/>
      <c r="I393" s="497"/>
      <c r="J393" s="498"/>
      <c r="K393" s="505">
        <f t="shared" si="45"/>
        <v>0</v>
      </c>
      <c r="L393" s="503"/>
      <c r="M393" s="503"/>
      <c r="N393" s="504"/>
      <c r="O393" s="502">
        <f t="shared" si="46"/>
        <v>0</v>
      </c>
      <c r="P393" s="503"/>
      <c r="Q393" s="503"/>
      <c r="R393" s="504"/>
      <c r="S393" s="32"/>
      <c r="T393" s="483"/>
      <c r="U393" s="483"/>
      <c r="V393" s="483"/>
      <c r="W393" s="483"/>
      <c r="X393" s="483"/>
      <c r="Y393" s="483"/>
      <c r="Z393" s="483"/>
      <c r="AA393" s="483"/>
      <c r="AB393" s="160"/>
      <c r="AC393" s="160"/>
      <c r="AD393" s="161"/>
      <c r="AE393" s="161"/>
      <c r="AF393" s="161"/>
    </row>
    <row r="394" spans="1:32" ht="30.75" customHeight="1">
      <c r="A394" s="141">
        <v>12404</v>
      </c>
      <c r="B394" s="133" t="s">
        <v>359</v>
      </c>
      <c r="C394" s="496"/>
      <c r="D394" s="497"/>
      <c r="E394" s="497"/>
      <c r="F394" s="498"/>
      <c r="G394" s="496"/>
      <c r="H394" s="497"/>
      <c r="I394" s="497"/>
      <c r="J394" s="498"/>
      <c r="K394" s="505">
        <f t="shared" si="45"/>
        <v>0</v>
      </c>
      <c r="L394" s="503"/>
      <c r="M394" s="503"/>
      <c r="N394" s="504"/>
      <c r="O394" s="502">
        <f t="shared" si="46"/>
        <v>0</v>
      </c>
      <c r="P394" s="503"/>
      <c r="Q394" s="503"/>
      <c r="R394" s="504"/>
      <c r="S394" s="32"/>
      <c r="T394" s="483"/>
      <c r="U394" s="483"/>
      <c r="V394" s="483"/>
      <c r="W394" s="483"/>
      <c r="X394" s="483"/>
      <c r="Y394" s="483"/>
      <c r="Z394" s="483"/>
      <c r="AA394" s="483"/>
      <c r="AB394" s="160"/>
      <c r="AC394" s="160"/>
      <c r="AD394" s="161"/>
      <c r="AE394" s="161"/>
      <c r="AF394" s="161"/>
    </row>
    <row r="395" spans="1:32" ht="30.75" customHeight="1">
      <c r="A395" s="141">
        <v>12405</v>
      </c>
      <c r="B395" s="133" t="s">
        <v>360</v>
      </c>
      <c r="C395" s="496"/>
      <c r="D395" s="497"/>
      <c r="E395" s="497"/>
      <c r="F395" s="498"/>
      <c r="G395" s="496"/>
      <c r="H395" s="497"/>
      <c r="I395" s="497"/>
      <c r="J395" s="498"/>
      <c r="K395" s="505">
        <f t="shared" si="45"/>
        <v>0</v>
      </c>
      <c r="L395" s="503"/>
      <c r="M395" s="503"/>
      <c r="N395" s="504"/>
      <c r="O395" s="502">
        <f t="shared" si="46"/>
        <v>0</v>
      </c>
      <c r="P395" s="503"/>
      <c r="Q395" s="503"/>
      <c r="R395" s="504"/>
      <c r="S395" s="32"/>
      <c r="T395" s="483"/>
      <c r="U395" s="483"/>
      <c r="V395" s="483"/>
      <c r="W395" s="483"/>
      <c r="X395" s="483"/>
      <c r="Y395" s="483"/>
      <c r="Z395" s="483"/>
      <c r="AA395" s="483"/>
      <c r="AB395" s="160"/>
      <c r="AC395" s="160"/>
      <c r="AD395" s="161"/>
      <c r="AE395" s="161"/>
      <c r="AF395" s="161"/>
    </row>
    <row r="396" spans="1:32" ht="30.75" customHeight="1" thickBot="1">
      <c r="A396" s="142">
        <v>12406</v>
      </c>
      <c r="B396" s="134" t="s">
        <v>361</v>
      </c>
      <c r="C396" s="524"/>
      <c r="D396" s="525"/>
      <c r="E396" s="525"/>
      <c r="F396" s="526"/>
      <c r="G396" s="524"/>
      <c r="H396" s="525"/>
      <c r="I396" s="525"/>
      <c r="J396" s="552"/>
      <c r="K396" s="548">
        <f t="shared" si="45"/>
        <v>0</v>
      </c>
      <c r="L396" s="549"/>
      <c r="M396" s="549"/>
      <c r="N396" s="550"/>
      <c r="O396" s="551">
        <f t="shared" si="46"/>
        <v>0</v>
      </c>
      <c r="P396" s="549"/>
      <c r="Q396" s="549"/>
      <c r="R396" s="550"/>
      <c r="S396" s="32"/>
      <c r="T396" s="483"/>
      <c r="U396" s="483"/>
      <c r="V396" s="483"/>
      <c r="W396" s="483"/>
      <c r="X396" s="483"/>
      <c r="Y396" s="483"/>
      <c r="Z396" s="483"/>
      <c r="AA396" s="483"/>
      <c r="AB396" s="160"/>
      <c r="AC396" s="160"/>
      <c r="AD396" s="161"/>
      <c r="AE396" s="161"/>
      <c r="AF396" s="161"/>
    </row>
    <row r="397" spans="1:32" ht="30.75" customHeight="1" thickBot="1">
      <c r="A397" s="529" t="s">
        <v>127</v>
      </c>
      <c r="B397" s="530"/>
      <c r="C397" s="521">
        <f>SUM(C391:F396)</f>
        <v>0</v>
      </c>
      <c r="D397" s="522"/>
      <c r="E397" s="522"/>
      <c r="F397" s="523"/>
      <c r="G397" s="521">
        <f>SUM(G391:J396)</f>
        <v>0</v>
      </c>
      <c r="H397" s="522"/>
      <c r="I397" s="522"/>
      <c r="J397" s="522"/>
      <c r="K397" s="556">
        <f>SUM(K391:N396)</f>
        <v>0</v>
      </c>
      <c r="L397" s="557"/>
      <c r="M397" s="557"/>
      <c r="N397" s="558"/>
      <c r="O397" s="521">
        <f>SUM(O391:R396)</f>
        <v>0</v>
      </c>
      <c r="P397" s="522"/>
      <c r="Q397" s="522"/>
      <c r="R397" s="523"/>
      <c r="S397" s="32"/>
      <c r="T397" s="481" t="str">
        <f>IF(K397=O397," "," مغایرت جمع مانده بدهکار با جمع مانده بستانکار")</f>
        <v xml:space="preserve"> </v>
      </c>
      <c r="U397" s="481"/>
      <c r="V397" s="481"/>
      <c r="W397" s="481"/>
      <c r="X397" s="481"/>
      <c r="Y397" s="481"/>
      <c r="Z397" s="481"/>
      <c r="AA397" s="481"/>
      <c r="AB397" s="160"/>
      <c r="AC397" s="160"/>
      <c r="AD397" s="161"/>
      <c r="AE397" s="161"/>
      <c r="AF397" s="161"/>
    </row>
    <row r="398" spans="1:32" s="2" customFormat="1" ht="28.5" thickBot="1">
      <c r="A398" s="140">
        <v>125</v>
      </c>
      <c r="B398" s="30"/>
      <c r="C398" s="499" t="s">
        <v>542</v>
      </c>
      <c r="D398" s="500"/>
      <c r="E398" s="500"/>
      <c r="F398" s="500"/>
      <c r="G398" s="500"/>
      <c r="H398" s="500"/>
      <c r="I398" s="500"/>
      <c r="J398" s="500"/>
      <c r="K398" s="500"/>
      <c r="L398" s="500"/>
      <c r="M398" s="500"/>
      <c r="N398" s="500"/>
      <c r="O398" s="500"/>
      <c r="P398" s="500"/>
      <c r="Q398" s="500"/>
      <c r="R398" s="501"/>
      <c r="S398" s="33"/>
      <c r="T398" s="483"/>
      <c r="U398" s="483"/>
      <c r="V398" s="483"/>
      <c r="W398" s="483"/>
      <c r="X398" s="483"/>
      <c r="Y398" s="483"/>
      <c r="Z398" s="483"/>
      <c r="AA398" s="483"/>
      <c r="AB398" s="96"/>
      <c r="AC398" s="96"/>
    </row>
    <row r="399" spans="1:32" ht="30.75" customHeight="1">
      <c r="A399" s="143">
        <v>12501</v>
      </c>
      <c r="B399" s="133" t="s">
        <v>362</v>
      </c>
      <c r="C399" s="496"/>
      <c r="D399" s="497"/>
      <c r="E399" s="497"/>
      <c r="F399" s="498"/>
      <c r="G399" s="496"/>
      <c r="H399" s="497"/>
      <c r="I399" s="497"/>
      <c r="J399" s="498"/>
      <c r="K399" s="505">
        <f>IF(C399&gt;G399,C399-G399,0)</f>
        <v>0</v>
      </c>
      <c r="L399" s="503"/>
      <c r="M399" s="503"/>
      <c r="N399" s="504"/>
      <c r="O399" s="502">
        <f>IF(G399&gt;C399,G399-C399,0)</f>
        <v>0</v>
      </c>
      <c r="P399" s="503"/>
      <c r="Q399" s="503"/>
      <c r="R399" s="504"/>
      <c r="S399" s="32"/>
      <c r="T399" s="483"/>
      <c r="U399" s="483"/>
      <c r="V399" s="483"/>
      <c r="W399" s="483"/>
      <c r="X399" s="483"/>
      <c r="Y399" s="483"/>
      <c r="Z399" s="483"/>
      <c r="AA399" s="483"/>
      <c r="AB399" s="160"/>
      <c r="AC399" s="160"/>
      <c r="AD399" s="161"/>
      <c r="AE399" s="161"/>
      <c r="AF399" s="161"/>
    </row>
    <row r="400" spans="1:32" ht="30.75" customHeight="1">
      <c r="A400" s="141">
        <v>12502</v>
      </c>
      <c r="B400" s="133" t="s">
        <v>363</v>
      </c>
      <c r="C400" s="496"/>
      <c r="D400" s="497"/>
      <c r="E400" s="497"/>
      <c r="F400" s="498"/>
      <c r="G400" s="496"/>
      <c r="H400" s="497"/>
      <c r="I400" s="497"/>
      <c r="J400" s="498"/>
      <c r="K400" s="505">
        <f>IF(C400&gt;G400,C400-G400,0)</f>
        <v>0</v>
      </c>
      <c r="L400" s="503"/>
      <c r="M400" s="503"/>
      <c r="N400" s="504"/>
      <c r="O400" s="502">
        <f>IF(G400&gt;C400,G400-C400,0)</f>
        <v>0</v>
      </c>
      <c r="P400" s="503"/>
      <c r="Q400" s="503"/>
      <c r="R400" s="504"/>
      <c r="S400" s="32"/>
      <c r="T400" s="483"/>
      <c r="U400" s="483"/>
      <c r="V400" s="483"/>
      <c r="W400" s="483"/>
      <c r="X400" s="483"/>
      <c r="Y400" s="483"/>
      <c r="Z400" s="483"/>
      <c r="AA400" s="483"/>
      <c r="AB400" s="160"/>
      <c r="AC400" s="160"/>
      <c r="AD400" s="161"/>
      <c r="AE400" s="161"/>
      <c r="AF400" s="161"/>
    </row>
    <row r="401" spans="1:32" ht="30.75" customHeight="1">
      <c r="A401" s="141">
        <v>12503</v>
      </c>
      <c r="B401" s="133" t="s">
        <v>364</v>
      </c>
      <c r="C401" s="496"/>
      <c r="D401" s="497"/>
      <c r="E401" s="497"/>
      <c r="F401" s="498"/>
      <c r="G401" s="496"/>
      <c r="H401" s="497"/>
      <c r="I401" s="497"/>
      <c r="J401" s="498"/>
      <c r="K401" s="505">
        <f t="shared" ref="K401:K408" si="47">IF(C401&gt;G401,C401-G401,0)</f>
        <v>0</v>
      </c>
      <c r="L401" s="503"/>
      <c r="M401" s="503"/>
      <c r="N401" s="504"/>
      <c r="O401" s="502">
        <f t="shared" ref="O401:O408" si="48">IF(G401&gt;C401,G401-C401,0)</f>
        <v>0</v>
      </c>
      <c r="P401" s="503"/>
      <c r="Q401" s="503"/>
      <c r="R401" s="504"/>
      <c r="S401" s="32"/>
      <c r="T401" s="483"/>
      <c r="U401" s="483"/>
      <c r="V401" s="483"/>
      <c r="W401" s="483"/>
      <c r="X401" s="483"/>
      <c r="Y401" s="483"/>
      <c r="Z401" s="483"/>
      <c r="AA401" s="483"/>
      <c r="AB401" s="160"/>
      <c r="AC401" s="160"/>
      <c r="AD401" s="161"/>
      <c r="AE401" s="161"/>
      <c r="AF401" s="161"/>
    </row>
    <row r="402" spans="1:32" ht="30.75" customHeight="1">
      <c r="A402" s="141">
        <v>12504</v>
      </c>
      <c r="B402" s="133" t="s">
        <v>365</v>
      </c>
      <c r="C402" s="496"/>
      <c r="D402" s="497"/>
      <c r="E402" s="497"/>
      <c r="F402" s="498"/>
      <c r="G402" s="496"/>
      <c r="H402" s="497"/>
      <c r="I402" s="497"/>
      <c r="J402" s="498"/>
      <c r="K402" s="505">
        <f t="shared" si="47"/>
        <v>0</v>
      </c>
      <c r="L402" s="503"/>
      <c r="M402" s="503"/>
      <c r="N402" s="504"/>
      <c r="O402" s="502">
        <f t="shared" si="48"/>
        <v>0</v>
      </c>
      <c r="P402" s="503"/>
      <c r="Q402" s="503"/>
      <c r="R402" s="504"/>
      <c r="S402" s="32"/>
      <c r="T402" s="483"/>
      <c r="U402" s="483"/>
      <c r="V402" s="483"/>
      <c r="W402" s="483"/>
      <c r="X402" s="483"/>
      <c r="Y402" s="483"/>
      <c r="Z402" s="483"/>
      <c r="AA402" s="483"/>
      <c r="AB402" s="160"/>
      <c r="AC402" s="160"/>
      <c r="AD402" s="161"/>
      <c r="AE402" s="161"/>
      <c r="AF402" s="161"/>
    </row>
    <row r="403" spans="1:32" ht="30.75" customHeight="1">
      <c r="A403" s="141">
        <v>12505</v>
      </c>
      <c r="B403" s="133" t="s">
        <v>366</v>
      </c>
      <c r="C403" s="496"/>
      <c r="D403" s="497"/>
      <c r="E403" s="497"/>
      <c r="F403" s="498"/>
      <c r="G403" s="496"/>
      <c r="H403" s="497"/>
      <c r="I403" s="497"/>
      <c r="J403" s="498"/>
      <c r="K403" s="505">
        <f t="shared" si="47"/>
        <v>0</v>
      </c>
      <c r="L403" s="503"/>
      <c r="M403" s="503"/>
      <c r="N403" s="504"/>
      <c r="O403" s="502">
        <f t="shared" si="48"/>
        <v>0</v>
      </c>
      <c r="P403" s="503"/>
      <c r="Q403" s="503"/>
      <c r="R403" s="504"/>
      <c r="S403" s="32"/>
      <c r="T403" s="483"/>
      <c r="U403" s="483"/>
      <c r="V403" s="483"/>
      <c r="W403" s="483"/>
      <c r="X403" s="483"/>
      <c r="Y403" s="483"/>
      <c r="Z403" s="483"/>
      <c r="AA403" s="483"/>
      <c r="AB403" s="160"/>
      <c r="AC403" s="160"/>
      <c r="AD403" s="161"/>
      <c r="AE403" s="161"/>
      <c r="AF403" s="161"/>
    </row>
    <row r="404" spans="1:32" ht="30.75" customHeight="1">
      <c r="A404" s="141">
        <v>12506</v>
      </c>
      <c r="B404" s="133" t="s">
        <v>367</v>
      </c>
      <c r="C404" s="496"/>
      <c r="D404" s="497"/>
      <c r="E404" s="497"/>
      <c r="F404" s="498"/>
      <c r="G404" s="496"/>
      <c r="H404" s="497"/>
      <c r="I404" s="497"/>
      <c r="J404" s="498"/>
      <c r="K404" s="505">
        <f t="shared" si="47"/>
        <v>0</v>
      </c>
      <c r="L404" s="503"/>
      <c r="M404" s="503"/>
      <c r="N404" s="504"/>
      <c r="O404" s="502">
        <f t="shared" si="48"/>
        <v>0</v>
      </c>
      <c r="P404" s="503"/>
      <c r="Q404" s="503"/>
      <c r="R404" s="504"/>
      <c r="S404" s="32"/>
      <c r="T404" s="483"/>
      <c r="U404" s="483"/>
      <c r="V404" s="483"/>
      <c r="W404" s="483"/>
      <c r="X404" s="483"/>
      <c r="Y404" s="483"/>
      <c r="Z404" s="483"/>
      <c r="AA404" s="483"/>
      <c r="AB404" s="160"/>
      <c r="AC404" s="160"/>
      <c r="AD404" s="161"/>
      <c r="AE404" s="161"/>
      <c r="AF404" s="161"/>
    </row>
    <row r="405" spans="1:32" ht="30.75" customHeight="1">
      <c r="A405" s="141">
        <v>12507</v>
      </c>
      <c r="B405" s="133" t="s">
        <v>516</v>
      </c>
      <c r="C405" s="496"/>
      <c r="D405" s="497"/>
      <c r="E405" s="497"/>
      <c r="F405" s="498"/>
      <c r="G405" s="496"/>
      <c r="H405" s="497"/>
      <c r="I405" s="497"/>
      <c r="J405" s="498"/>
      <c r="K405" s="505">
        <f t="shared" si="47"/>
        <v>0</v>
      </c>
      <c r="L405" s="503"/>
      <c r="M405" s="503"/>
      <c r="N405" s="504"/>
      <c r="O405" s="502">
        <f t="shared" si="48"/>
        <v>0</v>
      </c>
      <c r="P405" s="503"/>
      <c r="Q405" s="503"/>
      <c r="R405" s="504"/>
      <c r="S405" s="32"/>
      <c r="T405" s="483"/>
      <c r="U405" s="483"/>
      <c r="V405" s="483"/>
      <c r="W405" s="483"/>
      <c r="X405" s="483"/>
      <c r="Y405" s="483"/>
      <c r="Z405" s="483"/>
      <c r="AA405" s="483"/>
      <c r="AB405" s="160"/>
      <c r="AC405" s="160"/>
      <c r="AD405" s="161"/>
      <c r="AE405" s="161"/>
      <c r="AF405" s="161"/>
    </row>
    <row r="406" spans="1:32" ht="30.75" customHeight="1">
      <c r="A406" s="141">
        <v>12508</v>
      </c>
      <c r="B406" s="133" t="s">
        <v>517</v>
      </c>
      <c r="C406" s="496"/>
      <c r="D406" s="497"/>
      <c r="E406" s="497"/>
      <c r="F406" s="498"/>
      <c r="G406" s="496"/>
      <c r="H406" s="497"/>
      <c r="I406" s="497"/>
      <c r="J406" s="498"/>
      <c r="K406" s="505">
        <f t="shared" si="47"/>
        <v>0</v>
      </c>
      <c r="L406" s="503"/>
      <c r="M406" s="503"/>
      <c r="N406" s="504"/>
      <c r="O406" s="502">
        <f t="shared" si="48"/>
        <v>0</v>
      </c>
      <c r="P406" s="503"/>
      <c r="Q406" s="503"/>
      <c r="R406" s="504"/>
      <c r="S406" s="32"/>
      <c r="T406" s="483"/>
      <c r="U406" s="483"/>
      <c r="V406" s="483"/>
      <c r="W406" s="483"/>
      <c r="X406" s="483"/>
      <c r="Y406" s="483"/>
      <c r="Z406" s="483"/>
      <c r="AA406" s="483"/>
      <c r="AB406" s="160"/>
      <c r="AC406" s="160"/>
      <c r="AD406" s="161"/>
      <c r="AE406" s="161"/>
      <c r="AF406" s="161"/>
    </row>
    <row r="407" spans="1:32" ht="30.75" customHeight="1">
      <c r="A407" s="141">
        <v>12509</v>
      </c>
      <c r="B407" s="133" t="s">
        <v>368</v>
      </c>
      <c r="C407" s="496"/>
      <c r="D407" s="497"/>
      <c r="E407" s="497"/>
      <c r="F407" s="498"/>
      <c r="G407" s="496"/>
      <c r="H407" s="497"/>
      <c r="I407" s="497"/>
      <c r="J407" s="498"/>
      <c r="K407" s="505">
        <f t="shared" si="47"/>
        <v>0</v>
      </c>
      <c r="L407" s="503"/>
      <c r="M407" s="503"/>
      <c r="N407" s="504"/>
      <c r="O407" s="502">
        <f t="shared" si="48"/>
        <v>0</v>
      </c>
      <c r="P407" s="503"/>
      <c r="Q407" s="503"/>
      <c r="R407" s="504"/>
      <c r="S407" s="32"/>
      <c r="T407" s="483"/>
      <c r="U407" s="483"/>
      <c r="V407" s="483"/>
      <c r="W407" s="483"/>
      <c r="X407" s="483"/>
      <c r="Y407" s="483"/>
      <c r="Z407" s="483"/>
      <c r="AA407" s="483"/>
      <c r="AB407" s="160"/>
      <c r="AC407" s="160"/>
      <c r="AD407" s="161"/>
      <c r="AE407" s="161"/>
      <c r="AF407" s="161"/>
    </row>
    <row r="408" spans="1:32" ht="30.75" customHeight="1" thickBot="1">
      <c r="A408" s="144">
        <v>12510</v>
      </c>
      <c r="B408" s="135" t="s">
        <v>369</v>
      </c>
      <c r="C408" s="496"/>
      <c r="D408" s="497"/>
      <c r="E408" s="497"/>
      <c r="F408" s="498"/>
      <c r="G408" s="496"/>
      <c r="H408" s="497"/>
      <c r="I408" s="497"/>
      <c r="J408" s="498"/>
      <c r="K408" s="561">
        <f t="shared" si="47"/>
        <v>0</v>
      </c>
      <c r="L408" s="562"/>
      <c r="M408" s="562"/>
      <c r="N408" s="563"/>
      <c r="O408" s="551">
        <f t="shared" si="48"/>
        <v>0</v>
      </c>
      <c r="P408" s="549"/>
      <c r="Q408" s="549"/>
      <c r="R408" s="550"/>
      <c r="S408" s="32"/>
      <c r="T408" s="483"/>
      <c r="U408" s="483"/>
      <c r="V408" s="483"/>
      <c r="W408" s="483"/>
      <c r="X408" s="483"/>
      <c r="Y408" s="483"/>
      <c r="Z408" s="483"/>
      <c r="AA408" s="483"/>
      <c r="AB408" s="160"/>
      <c r="AC408" s="160"/>
      <c r="AD408" s="161"/>
      <c r="AE408" s="161"/>
      <c r="AF408" s="161"/>
    </row>
    <row r="409" spans="1:32" ht="30.75" customHeight="1" thickBot="1">
      <c r="A409" s="531" t="s">
        <v>127</v>
      </c>
      <c r="B409" s="532"/>
      <c r="C409" s="516">
        <f>SUM(C399:F408)</f>
        <v>0</v>
      </c>
      <c r="D409" s="517"/>
      <c r="E409" s="517"/>
      <c r="F409" s="518"/>
      <c r="G409" s="516">
        <f>SUM(G399:J408)</f>
        <v>0</v>
      </c>
      <c r="H409" s="517"/>
      <c r="I409" s="517"/>
      <c r="J409" s="517"/>
      <c r="K409" s="520">
        <f>SUM(K399:N408)</f>
        <v>0</v>
      </c>
      <c r="L409" s="517"/>
      <c r="M409" s="517"/>
      <c r="N409" s="518"/>
      <c r="O409" s="521">
        <f>SUM(O399:R408)</f>
        <v>0</v>
      </c>
      <c r="P409" s="522"/>
      <c r="Q409" s="522"/>
      <c r="R409" s="523"/>
      <c r="S409" s="32"/>
      <c r="T409" s="481" t="str">
        <f>IF(K409=O409," "," مغایرت جمع مانده بدهکار با جمع مانده بستانکار")</f>
        <v xml:space="preserve"> </v>
      </c>
      <c r="U409" s="481"/>
      <c r="V409" s="481"/>
      <c r="W409" s="481"/>
      <c r="X409" s="481"/>
      <c r="Y409" s="481"/>
      <c r="Z409" s="481"/>
      <c r="AA409" s="481"/>
      <c r="AB409" s="160"/>
      <c r="AC409" s="160"/>
      <c r="AD409" s="161"/>
      <c r="AE409" s="161"/>
      <c r="AF409" s="161"/>
    </row>
    <row r="410" spans="1:32" s="2" customFormat="1" ht="28.5" thickBot="1">
      <c r="A410" s="140">
        <v>126</v>
      </c>
      <c r="B410" s="30"/>
      <c r="C410" s="499" t="s">
        <v>543</v>
      </c>
      <c r="D410" s="500"/>
      <c r="E410" s="500"/>
      <c r="F410" s="500"/>
      <c r="G410" s="500"/>
      <c r="H410" s="500"/>
      <c r="I410" s="500"/>
      <c r="J410" s="500"/>
      <c r="K410" s="500"/>
      <c r="L410" s="500"/>
      <c r="M410" s="500"/>
      <c r="N410" s="500"/>
      <c r="O410" s="500"/>
      <c r="P410" s="500"/>
      <c r="Q410" s="500"/>
      <c r="R410" s="501"/>
      <c r="S410" s="33"/>
      <c r="T410" s="483"/>
      <c r="U410" s="483"/>
      <c r="V410" s="483"/>
      <c r="W410" s="483"/>
      <c r="X410" s="483"/>
      <c r="Y410" s="483"/>
      <c r="Z410" s="483"/>
      <c r="AA410" s="483"/>
      <c r="AB410" s="96"/>
      <c r="AC410" s="96"/>
    </row>
    <row r="411" spans="1:32" ht="30.75" customHeight="1">
      <c r="A411" s="143">
        <v>12601</v>
      </c>
      <c r="B411" s="133" t="s">
        <v>370</v>
      </c>
      <c r="C411" s="496"/>
      <c r="D411" s="497"/>
      <c r="E411" s="497"/>
      <c r="F411" s="498"/>
      <c r="G411" s="496"/>
      <c r="H411" s="497"/>
      <c r="I411" s="497"/>
      <c r="J411" s="571"/>
      <c r="K411" s="505">
        <f>IF(C411&gt;G411,C411-G411,0)</f>
        <v>0</v>
      </c>
      <c r="L411" s="503"/>
      <c r="M411" s="503"/>
      <c r="N411" s="504"/>
      <c r="O411" s="502">
        <f>IF(G411&gt;C411,G411-C411,0)</f>
        <v>0</v>
      </c>
      <c r="P411" s="503"/>
      <c r="Q411" s="503"/>
      <c r="R411" s="504"/>
      <c r="S411" s="32"/>
      <c r="T411" s="483" t="str">
        <f>IF(C411-G411=G412-C412," ","مغایرت دارایی ثابت با اموال دولت جمهوری اسلامی")</f>
        <v xml:space="preserve"> </v>
      </c>
      <c r="U411" s="483"/>
      <c r="V411" s="483"/>
      <c r="W411" s="483"/>
      <c r="X411" s="483"/>
      <c r="Y411" s="483"/>
      <c r="Z411" s="483"/>
      <c r="AA411" s="483"/>
      <c r="AB411" s="160"/>
      <c r="AC411" s="160"/>
      <c r="AD411" s="161"/>
      <c r="AE411" s="161"/>
      <c r="AF411" s="161"/>
    </row>
    <row r="412" spans="1:32" ht="30.75" customHeight="1">
      <c r="A412" s="141">
        <v>12602</v>
      </c>
      <c r="B412" s="133" t="s">
        <v>371</v>
      </c>
      <c r="C412" s="496"/>
      <c r="D412" s="497"/>
      <c r="E412" s="497"/>
      <c r="F412" s="498"/>
      <c r="G412" s="496"/>
      <c r="H412" s="497"/>
      <c r="I412" s="497"/>
      <c r="J412" s="571"/>
      <c r="K412" s="505">
        <f>IF(C412&gt;G412,C412-G412,0)</f>
        <v>0</v>
      </c>
      <c r="L412" s="503"/>
      <c r="M412" s="503"/>
      <c r="N412" s="504"/>
      <c r="O412" s="502">
        <f>IF(G412&gt;C412,G412-C412,0)</f>
        <v>0</v>
      </c>
      <c r="P412" s="503"/>
      <c r="Q412" s="503"/>
      <c r="R412" s="504"/>
      <c r="S412" s="32"/>
      <c r="T412" s="483"/>
      <c r="U412" s="483"/>
      <c r="V412" s="483"/>
      <c r="W412" s="483"/>
      <c r="X412" s="483"/>
      <c r="Y412" s="483"/>
      <c r="Z412" s="483"/>
      <c r="AA412" s="483"/>
      <c r="AB412" s="160"/>
      <c r="AC412" s="160"/>
      <c r="AD412" s="161"/>
      <c r="AE412" s="161"/>
      <c r="AF412" s="161"/>
    </row>
    <row r="413" spans="1:32" ht="30.75" customHeight="1">
      <c r="A413" s="141">
        <v>12603</v>
      </c>
      <c r="B413" s="133" t="s">
        <v>372</v>
      </c>
      <c r="C413" s="496"/>
      <c r="D413" s="497"/>
      <c r="E413" s="497"/>
      <c r="F413" s="498"/>
      <c r="G413" s="496"/>
      <c r="H413" s="497"/>
      <c r="I413" s="497"/>
      <c r="J413" s="571"/>
      <c r="K413" s="505">
        <f t="shared" ref="K413:K422" si="49">IF(C413&gt;G413,C413-G413,0)</f>
        <v>0</v>
      </c>
      <c r="L413" s="503"/>
      <c r="M413" s="503"/>
      <c r="N413" s="504"/>
      <c r="O413" s="502">
        <f t="shared" ref="O413:O422" si="50">IF(G413&gt;C413,G413-C413,0)</f>
        <v>0</v>
      </c>
      <c r="P413" s="503"/>
      <c r="Q413" s="503"/>
      <c r="R413" s="504"/>
      <c r="S413" s="32"/>
      <c r="T413" s="483"/>
      <c r="U413" s="483"/>
      <c r="V413" s="483"/>
      <c r="W413" s="483"/>
      <c r="X413" s="483"/>
      <c r="Y413" s="483"/>
      <c r="Z413" s="483"/>
      <c r="AA413" s="483"/>
      <c r="AB413" s="160"/>
      <c r="AC413" s="160"/>
      <c r="AD413" s="161"/>
      <c r="AE413" s="161"/>
      <c r="AF413" s="161"/>
    </row>
    <row r="414" spans="1:32" ht="30.75" customHeight="1">
      <c r="A414" s="141">
        <v>12604</v>
      </c>
      <c r="B414" s="133" t="s">
        <v>373</v>
      </c>
      <c r="C414" s="496"/>
      <c r="D414" s="497"/>
      <c r="E414" s="497"/>
      <c r="F414" s="498"/>
      <c r="G414" s="496"/>
      <c r="H414" s="497"/>
      <c r="I414" s="497"/>
      <c r="J414" s="571"/>
      <c r="K414" s="505">
        <f t="shared" si="49"/>
        <v>0</v>
      </c>
      <c r="L414" s="503"/>
      <c r="M414" s="503"/>
      <c r="N414" s="504"/>
      <c r="O414" s="502">
        <f t="shared" si="50"/>
        <v>0</v>
      </c>
      <c r="P414" s="503"/>
      <c r="Q414" s="503"/>
      <c r="R414" s="504"/>
      <c r="S414" s="32"/>
      <c r="T414" s="483"/>
      <c r="U414" s="483"/>
      <c r="V414" s="483"/>
      <c r="W414" s="483"/>
      <c r="X414" s="483"/>
      <c r="Y414" s="483"/>
      <c r="Z414" s="483"/>
      <c r="AA414" s="483"/>
      <c r="AB414" s="160"/>
      <c r="AC414" s="160"/>
      <c r="AD414" s="161"/>
      <c r="AE414" s="161"/>
      <c r="AF414" s="161"/>
    </row>
    <row r="415" spans="1:32" ht="30.75" customHeight="1">
      <c r="A415" s="141">
        <v>12605</v>
      </c>
      <c r="B415" s="133" t="s">
        <v>374</v>
      </c>
      <c r="C415" s="496"/>
      <c r="D415" s="497"/>
      <c r="E415" s="497"/>
      <c r="F415" s="498"/>
      <c r="G415" s="496"/>
      <c r="H415" s="497"/>
      <c r="I415" s="497"/>
      <c r="J415" s="571"/>
      <c r="K415" s="505">
        <f t="shared" si="49"/>
        <v>0</v>
      </c>
      <c r="L415" s="503"/>
      <c r="M415" s="503"/>
      <c r="N415" s="504"/>
      <c r="O415" s="502">
        <f t="shared" si="50"/>
        <v>0</v>
      </c>
      <c r="P415" s="503"/>
      <c r="Q415" s="503"/>
      <c r="R415" s="504"/>
      <c r="S415" s="32"/>
      <c r="T415" s="483"/>
      <c r="U415" s="483"/>
      <c r="V415" s="483"/>
      <c r="W415" s="483"/>
      <c r="X415" s="483"/>
      <c r="Y415" s="483"/>
      <c r="Z415" s="483"/>
      <c r="AA415" s="483"/>
      <c r="AB415" s="160"/>
      <c r="AC415" s="160"/>
      <c r="AD415" s="161"/>
      <c r="AE415" s="161"/>
      <c r="AF415" s="161"/>
    </row>
    <row r="416" spans="1:32" ht="30.75" customHeight="1">
      <c r="A416" s="141">
        <v>12606</v>
      </c>
      <c r="B416" s="133" t="s">
        <v>375</v>
      </c>
      <c r="C416" s="496"/>
      <c r="D416" s="497"/>
      <c r="E416" s="497"/>
      <c r="F416" s="498"/>
      <c r="G416" s="496"/>
      <c r="H416" s="497"/>
      <c r="I416" s="497"/>
      <c r="J416" s="571"/>
      <c r="K416" s="505">
        <f t="shared" si="49"/>
        <v>0</v>
      </c>
      <c r="L416" s="503"/>
      <c r="M416" s="503"/>
      <c r="N416" s="504"/>
      <c r="O416" s="502">
        <f t="shared" si="50"/>
        <v>0</v>
      </c>
      <c r="P416" s="503"/>
      <c r="Q416" s="503"/>
      <c r="R416" s="504"/>
      <c r="S416" s="32"/>
      <c r="T416" s="483"/>
      <c r="U416" s="483"/>
      <c r="V416" s="483"/>
      <c r="W416" s="483"/>
      <c r="X416" s="483"/>
      <c r="Y416" s="483"/>
      <c r="Z416" s="483"/>
      <c r="AA416" s="483"/>
      <c r="AB416" s="160"/>
      <c r="AC416" s="160"/>
      <c r="AD416" s="161"/>
      <c r="AE416" s="161"/>
      <c r="AF416" s="161"/>
    </row>
    <row r="417" spans="1:37" ht="30.75" customHeight="1">
      <c r="A417" s="141">
        <v>12607</v>
      </c>
      <c r="B417" s="133" t="s">
        <v>376</v>
      </c>
      <c r="C417" s="496"/>
      <c r="D417" s="497"/>
      <c r="E417" s="497"/>
      <c r="F417" s="498"/>
      <c r="G417" s="496"/>
      <c r="H417" s="497"/>
      <c r="I417" s="497"/>
      <c r="J417" s="571"/>
      <c r="K417" s="505">
        <f t="shared" si="49"/>
        <v>0</v>
      </c>
      <c r="L417" s="503"/>
      <c r="M417" s="503"/>
      <c r="N417" s="504"/>
      <c r="O417" s="502">
        <f t="shared" si="50"/>
        <v>0</v>
      </c>
      <c r="P417" s="503"/>
      <c r="Q417" s="503"/>
      <c r="R417" s="504"/>
      <c r="S417" s="32"/>
      <c r="T417" s="483"/>
      <c r="U417" s="483"/>
      <c r="V417" s="483"/>
      <c r="W417" s="483"/>
      <c r="X417" s="483"/>
      <c r="Y417" s="483"/>
      <c r="Z417" s="483"/>
      <c r="AA417" s="483"/>
      <c r="AB417" s="160"/>
      <c r="AC417" s="160"/>
      <c r="AD417" s="161"/>
      <c r="AE417" s="161"/>
      <c r="AF417" s="161"/>
    </row>
    <row r="418" spans="1:37" ht="30.75" customHeight="1">
      <c r="A418" s="141">
        <v>12608</v>
      </c>
      <c r="B418" s="133" t="s">
        <v>377</v>
      </c>
      <c r="C418" s="496"/>
      <c r="D418" s="497"/>
      <c r="E418" s="497"/>
      <c r="F418" s="498"/>
      <c r="G418" s="496"/>
      <c r="H418" s="497"/>
      <c r="I418" s="497"/>
      <c r="J418" s="571"/>
      <c r="K418" s="505">
        <f t="shared" si="49"/>
        <v>0</v>
      </c>
      <c r="L418" s="503"/>
      <c r="M418" s="503"/>
      <c r="N418" s="504"/>
      <c r="O418" s="502">
        <f t="shared" si="50"/>
        <v>0</v>
      </c>
      <c r="P418" s="503"/>
      <c r="Q418" s="503"/>
      <c r="R418" s="504"/>
      <c r="S418" s="32"/>
      <c r="T418" s="483"/>
      <c r="U418" s="483"/>
      <c r="V418" s="483"/>
      <c r="W418" s="483"/>
      <c r="X418" s="483"/>
      <c r="Y418" s="483"/>
      <c r="Z418" s="483"/>
      <c r="AA418" s="483"/>
      <c r="AB418" s="160"/>
      <c r="AC418" s="160"/>
      <c r="AD418" s="161"/>
      <c r="AE418" s="161"/>
      <c r="AF418" s="161"/>
    </row>
    <row r="419" spans="1:37" ht="30.75" customHeight="1">
      <c r="A419" s="141">
        <v>12609</v>
      </c>
      <c r="B419" s="133" t="s">
        <v>378</v>
      </c>
      <c r="C419" s="496"/>
      <c r="D419" s="497"/>
      <c r="E419" s="497"/>
      <c r="F419" s="498"/>
      <c r="G419" s="496"/>
      <c r="H419" s="497"/>
      <c r="I419" s="497"/>
      <c r="J419" s="571"/>
      <c r="K419" s="505">
        <f t="shared" si="49"/>
        <v>0</v>
      </c>
      <c r="L419" s="503"/>
      <c r="M419" s="503"/>
      <c r="N419" s="504"/>
      <c r="O419" s="502">
        <f t="shared" si="50"/>
        <v>0</v>
      </c>
      <c r="P419" s="503"/>
      <c r="Q419" s="503"/>
      <c r="R419" s="504"/>
      <c r="S419" s="32"/>
      <c r="T419" s="483"/>
      <c r="U419" s="483"/>
      <c r="V419" s="483"/>
      <c r="W419" s="483"/>
      <c r="X419" s="483"/>
      <c r="Y419" s="483"/>
      <c r="Z419" s="483"/>
      <c r="AA419" s="483"/>
      <c r="AB419" s="160"/>
      <c r="AC419" s="160"/>
      <c r="AD419" s="161"/>
      <c r="AE419" s="161"/>
      <c r="AF419" s="161"/>
    </row>
    <row r="420" spans="1:37" ht="30.75" customHeight="1">
      <c r="A420" s="141">
        <v>12610</v>
      </c>
      <c r="B420" s="133" t="s">
        <v>379</v>
      </c>
      <c r="C420" s="496"/>
      <c r="D420" s="497"/>
      <c r="E420" s="497"/>
      <c r="F420" s="498"/>
      <c r="G420" s="496"/>
      <c r="H420" s="497"/>
      <c r="I420" s="497"/>
      <c r="J420" s="571"/>
      <c r="K420" s="505">
        <f t="shared" si="49"/>
        <v>0</v>
      </c>
      <c r="L420" s="503"/>
      <c r="M420" s="503"/>
      <c r="N420" s="504"/>
      <c r="O420" s="502">
        <f t="shared" si="50"/>
        <v>0</v>
      </c>
      <c r="P420" s="503"/>
      <c r="Q420" s="503"/>
      <c r="R420" s="504"/>
      <c r="S420" s="32"/>
      <c r="T420" s="483"/>
      <c r="U420" s="483"/>
      <c r="V420" s="483"/>
      <c r="W420" s="483"/>
      <c r="X420" s="483"/>
      <c r="Y420" s="483"/>
      <c r="Z420" s="483"/>
      <c r="AA420" s="483"/>
      <c r="AB420" s="160"/>
      <c r="AC420" s="160"/>
      <c r="AD420" s="161"/>
      <c r="AE420" s="161"/>
      <c r="AF420" s="161"/>
    </row>
    <row r="421" spans="1:37" ht="30.75" customHeight="1">
      <c r="A421" s="141">
        <v>12611</v>
      </c>
      <c r="B421" s="133" t="s">
        <v>380</v>
      </c>
      <c r="C421" s="496"/>
      <c r="D421" s="497"/>
      <c r="E421" s="497"/>
      <c r="F421" s="498"/>
      <c r="G421" s="496"/>
      <c r="H421" s="497"/>
      <c r="I421" s="497"/>
      <c r="J421" s="571"/>
      <c r="K421" s="505">
        <f t="shared" si="49"/>
        <v>0</v>
      </c>
      <c r="L421" s="503"/>
      <c r="M421" s="503"/>
      <c r="N421" s="504"/>
      <c r="O421" s="502">
        <f t="shared" si="50"/>
        <v>0</v>
      </c>
      <c r="P421" s="503"/>
      <c r="Q421" s="503"/>
      <c r="R421" s="504"/>
      <c r="S421" s="32"/>
      <c r="T421" s="483"/>
      <c r="U421" s="483"/>
      <c r="V421" s="483"/>
      <c r="W421" s="483"/>
      <c r="X421" s="483"/>
      <c r="Y421" s="483"/>
      <c r="Z421" s="483"/>
      <c r="AA421" s="483"/>
      <c r="AB421" s="160"/>
      <c r="AC421" s="160"/>
      <c r="AD421" s="161"/>
      <c r="AE421" s="161"/>
      <c r="AF421" s="161"/>
    </row>
    <row r="422" spans="1:37" ht="30.75" customHeight="1" thickBot="1">
      <c r="A422" s="142">
        <v>12612</v>
      </c>
      <c r="B422" s="134" t="s">
        <v>381</v>
      </c>
      <c r="C422" s="496"/>
      <c r="D422" s="497"/>
      <c r="E422" s="497"/>
      <c r="F422" s="498"/>
      <c r="G422" s="496"/>
      <c r="H422" s="497"/>
      <c r="I422" s="497"/>
      <c r="J422" s="571"/>
      <c r="K422" s="505">
        <f t="shared" si="49"/>
        <v>0</v>
      </c>
      <c r="L422" s="503"/>
      <c r="M422" s="503"/>
      <c r="N422" s="504"/>
      <c r="O422" s="502">
        <f t="shared" si="50"/>
        <v>0</v>
      </c>
      <c r="P422" s="503"/>
      <c r="Q422" s="503"/>
      <c r="R422" s="504"/>
      <c r="S422" s="32"/>
      <c r="T422" s="483" t="str">
        <f>IF(G422-C422=K421+K420+K419+K416+K415+K414+K413," "," مغایرت حساب اموال دستگاه اجرایی با اموال رسیده ، موجود در انبار ،تحویلی به واحد ها ، امانی و ...")</f>
        <v xml:space="preserve"> </v>
      </c>
      <c r="U422" s="483"/>
      <c r="V422" s="483"/>
      <c r="W422" s="483"/>
      <c r="X422" s="483"/>
      <c r="Y422" s="483"/>
      <c r="Z422" s="483"/>
      <c r="AA422" s="483"/>
      <c r="AB422" s="483"/>
      <c r="AC422" s="483"/>
      <c r="AD422" s="161"/>
      <c r="AE422" s="161"/>
      <c r="AF422" s="161"/>
    </row>
    <row r="423" spans="1:37" ht="30.75" customHeight="1" thickBot="1">
      <c r="A423" s="533" t="s">
        <v>127</v>
      </c>
      <c r="B423" s="534"/>
      <c r="C423" s="567">
        <f>SUM(C411:F422)</f>
        <v>0</v>
      </c>
      <c r="D423" s="568"/>
      <c r="E423" s="568"/>
      <c r="F423" s="569"/>
      <c r="G423" s="567">
        <f>SUM(G411:J422)</f>
        <v>0</v>
      </c>
      <c r="H423" s="568"/>
      <c r="I423" s="568"/>
      <c r="J423" s="568"/>
      <c r="K423" s="570">
        <f>SUM(K411:N422)</f>
        <v>0</v>
      </c>
      <c r="L423" s="568"/>
      <c r="M423" s="568"/>
      <c r="N423" s="569"/>
      <c r="O423" s="567">
        <f>SUM(O411:R422)</f>
        <v>0</v>
      </c>
      <c r="P423" s="568"/>
      <c r="Q423" s="568"/>
      <c r="R423" s="569"/>
      <c r="S423" s="35"/>
      <c r="T423" s="481" t="str">
        <f>IF(K423=O423," "," مغایرت جمع مانده بدهکار با جمع مانده بستانکار")</f>
        <v xml:space="preserve"> </v>
      </c>
      <c r="U423" s="481"/>
      <c r="V423" s="481"/>
      <c r="W423" s="481"/>
      <c r="X423" s="481"/>
      <c r="Y423" s="481"/>
      <c r="Z423" s="481"/>
      <c r="AA423" s="481"/>
      <c r="AB423" s="160"/>
      <c r="AC423" s="160"/>
      <c r="AD423" s="161"/>
      <c r="AE423" s="161"/>
      <c r="AF423" s="161"/>
    </row>
    <row r="424" spans="1:37" s="2" customFormat="1" ht="28.5" thickBot="1">
      <c r="A424" s="506" t="s">
        <v>93</v>
      </c>
      <c r="B424" s="507"/>
      <c r="C424" s="512">
        <f>C423+C409+C397+C389+C372+C365+C359+C352+C342+C334+C325+C314+C309+C301+C290+C270+C251+C238+C212+C179+C159+C130+C118+C105+C90+C54</f>
        <v>0</v>
      </c>
      <c r="D424" s="513"/>
      <c r="E424" s="513"/>
      <c r="F424" s="514"/>
      <c r="G424" s="512">
        <f>G423+G409+G397+G389+G372+G365+G359+G352+G342+G334+G325+G314+G309+G301+G290+G270+G251+G238+G212+G179+G159+G130+G118+G105+G90+G54</f>
        <v>0</v>
      </c>
      <c r="H424" s="513"/>
      <c r="I424" s="513"/>
      <c r="J424" s="513"/>
      <c r="K424" s="515">
        <f>K423+K409+K397+K389+K372+K365+K359+K352+K342+K334+K325+K314+K309+K301+K290+K270+K251+K238+K212+K179+K159+K130+K118+K105+K90+K54</f>
        <v>0</v>
      </c>
      <c r="L424" s="513"/>
      <c r="M424" s="513"/>
      <c r="N424" s="514"/>
      <c r="O424" s="512">
        <f>O423+O409+O397+O389+O372+O365+O359+O352+O342+O334+O325+O314+O309+O301+O290+O270+O251+O238+O212+O179+O159+O130+O118+O105+O90+O54</f>
        <v>0</v>
      </c>
      <c r="P424" s="513"/>
      <c r="Q424" s="513"/>
      <c r="R424" s="514"/>
      <c r="S424" s="36"/>
      <c r="T424" s="481" t="str">
        <f>IF(K424=O424," "," مغایرت جمع مانده بدهکار با جمع مانده بستانکار")</f>
        <v xml:space="preserve"> </v>
      </c>
      <c r="U424" s="481"/>
      <c r="V424" s="481"/>
      <c r="W424" s="481"/>
      <c r="X424" s="481"/>
      <c r="Y424" s="481"/>
      <c r="Z424" s="481"/>
      <c r="AA424" s="481"/>
      <c r="AB424" s="96"/>
      <c r="AC424" s="96"/>
    </row>
    <row r="425" spans="1:37">
      <c r="A425" s="145"/>
      <c r="B425" s="138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88"/>
      <c r="U425" s="159"/>
      <c r="V425" s="159"/>
      <c r="W425" s="159"/>
      <c r="X425" s="159"/>
      <c r="Y425" s="159"/>
      <c r="Z425" s="159"/>
      <c r="AA425" s="159"/>
      <c r="AB425" s="160"/>
      <c r="AC425" s="160"/>
      <c r="AD425" s="161"/>
      <c r="AE425" s="161"/>
      <c r="AF425" s="161"/>
    </row>
    <row r="426" spans="1:37">
      <c r="A426" s="145"/>
      <c r="B426" s="138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88"/>
      <c r="U426" s="159"/>
      <c r="V426" s="159"/>
      <c r="W426" s="159"/>
      <c r="X426" s="159"/>
      <c r="Y426" s="159"/>
      <c r="Z426" s="159"/>
      <c r="AA426" s="159"/>
      <c r="AB426" s="160"/>
      <c r="AC426" s="160"/>
      <c r="AD426" s="161"/>
      <c r="AE426" s="161"/>
      <c r="AF426" s="161"/>
    </row>
    <row r="427" spans="1:37" s="132" customFormat="1" ht="62.25" customHeight="1">
      <c r="A427" s="453"/>
      <c r="B427" s="457" t="s">
        <v>9</v>
      </c>
      <c r="C427" s="493">
        <f>'صفحه اصلی'!C12</f>
        <v>0</v>
      </c>
      <c r="D427" s="493"/>
      <c r="E427" s="493"/>
      <c r="F427" s="493"/>
      <c r="G427" s="494" t="s">
        <v>10</v>
      </c>
      <c r="H427" s="494"/>
      <c r="I427" s="494"/>
      <c r="J427" s="494"/>
      <c r="K427" s="495">
        <f>'صفحه اصلی'!C13</f>
        <v>0</v>
      </c>
      <c r="L427" s="495"/>
      <c r="M427" s="495"/>
      <c r="N427" s="49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</row>
    <row r="428" spans="1:37" ht="36" customHeight="1">
      <c r="A428" s="146"/>
      <c r="B428" s="138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88"/>
    </row>
    <row r="429" spans="1:37">
      <c r="A429" s="146"/>
      <c r="B429" s="138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88"/>
    </row>
    <row r="430" spans="1:37">
      <c r="A430" s="146"/>
      <c r="B430" s="138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88"/>
    </row>
    <row r="431" spans="1:37">
      <c r="A431" s="146"/>
      <c r="B431" s="138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88"/>
    </row>
    <row r="432" spans="1:37">
      <c r="A432" s="146"/>
      <c r="B432" s="138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88"/>
    </row>
    <row r="433" spans="1:19">
      <c r="A433" s="146"/>
      <c r="B433" s="138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88"/>
    </row>
    <row r="434" spans="1:19">
      <c r="A434" s="146"/>
      <c r="B434" s="138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88"/>
    </row>
    <row r="435" spans="1:19">
      <c r="A435" s="146"/>
      <c r="B435" s="138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88"/>
    </row>
    <row r="436" spans="1:19">
      <c r="A436" s="146"/>
      <c r="B436" s="138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88"/>
    </row>
    <row r="437" spans="1:19">
      <c r="A437" s="146"/>
      <c r="B437" s="138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88"/>
    </row>
    <row r="438" spans="1:19">
      <c r="A438" s="146"/>
      <c r="B438" s="138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88"/>
    </row>
    <row r="439" spans="1:19">
      <c r="A439" s="146"/>
      <c r="B439" s="138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88"/>
    </row>
    <row r="440" spans="1:19">
      <c r="A440" s="146"/>
      <c r="B440" s="138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88"/>
    </row>
    <row r="441" spans="1:19">
      <c r="A441" s="146"/>
      <c r="B441" s="138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88"/>
    </row>
    <row r="442" spans="1:19">
      <c r="A442" s="146"/>
      <c r="B442" s="138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88"/>
    </row>
    <row r="443" spans="1:19">
      <c r="A443" s="146"/>
      <c r="B443" s="138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88"/>
    </row>
    <row r="444" spans="1:19">
      <c r="A444" s="146"/>
      <c r="B444" s="138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88"/>
    </row>
    <row r="445" spans="1:19">
      <c r="A445" s="146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88"/>
    </row>
  </sheetData>
  <sheetProtection password="B595" sheet="1" objects="1" scenarios="1" formatCells="0" formatColumns="0" formatRows="0" insertColumns="0" insertRows="0" insertHyperlinks="0" deleteColumns="0" deleteRows="0" sort="0" autoFilter="0" pivotTables="0"/>
  <mergeCells count="2150">
    <mergeCell ref="T405:AA405"/>
    <mergeCell ref="T406:AA406"/>
    <mergeCell ref="T407:AA407"/>
    <mergeCell ref="T408:AA408"/>
    <mergeCell ref="T409:AA409"/>
    <mergeCell ref="T410:AA410"/>
    <mergeCell ref="T382:AA382"/>
    <mergeCell ref="T383:AA383"/>
    <mergeCell ref="T384:AA384"/>
    <mergeCell ref="T385:AA385"/>
    <mergeCell ref="T386:AA386"/>
    <mergeCell ref="T352:AA352"/>
    <mergeCell ref="T353:AA353"/>
    <mergeCell ref="T354:AA354"/>
    <mergeCell ref="T355:AA355"/>
    <mergeCell ref="T356:AA356"/>
    <mergeCell ref="T357:AA357"/>
    <mergeCell ref="T358:AA358"/>
    <mergeCell ref="T359:AA359"/>
    <mergeCell ref="T378:AA378"/>
    <mergeCell ref="T379:AA379"/>
    <mergeCell ref="T368:AA368"/>
    <mergeCell ref="T404:AA404"/>
    <mergeCell ref="T161:AH161"/>
    <mergeCell ref="T168:AD168"/>
    <mergeCell ref="T153:AE153"/>
    <mergeCell ref="T137:AC137"/>
    <mergeCell ref="T99:AD99"/>
    <mergeCell ref="T411:AA411"/>
    <mergeCell ref="T412:AA412"/>
    <mergeCell ref="T413:AA413"/>
    <mergeCell ref="T414:AA414"/>
    <mergeCell ref="T415:AA415"/>
    <mergeCell ref="T416:AA416"/>
    <mergeCell ref="T417:AA417"/>
    <mergeCell ref="T418:AA418"/>
    <mergeCell ref="T419:AA419"/>
    <mergeCell ref="T341:AA341"/>
    <mergeCell ref="T342:AA342"/>
    <mergeCell ref="T360:AA360"/>
    <mergeCell ref="T362:AA362"/>
    <mergeCell ref="T363:AA363"/>
    <mergeCell ref="T364:AA364"/>
    <mergeCell ref="T365:AA365"/>
    <mergeCell ref="T366:AA366"/>
    <mergeCell ref="T367:AA367"/>
    <mergeCell ref="T401:AA401"/>
    <mergeCell ref="T369:AA369"/>
    <mergeCell ref="T361:AC361"/>
    <mergeCell ref="T321:AA321"/>
    <mergeCell ref="T322:AA322"/>
    <mergeCell ref="T324:AA324"/>
    <mergeCell ref="T325:AA325"/>
    <mergeCell ref="T326:AA326"/>
    <mergeCell ref="T380:AA380"/>
    <mergeCell ref="T423:AA423"/>
    <mergeCell ref="T424:AA424"/>
    <mergeCell ref="T166:AD166"/>
    <mergeCell ref="T387:AA387"/>
    <mergeCell ref="T388:AA388"/>
    <mergeCell ref="T389:AA389"/>
    <mergeCell ref="T390:AA390"/>
    <mergeCell ref="T391:AA391"/>
    <mergeCell ref="T392:AA392"/>
    <mergeCell ref="T393:AA393"/>
    <mergeCell ref="T394:AA394"/>
    <mergeCell ref="T395:AA395"/>
    <mergeCell ref="T396:AA396"/>
    <mergeCell ref="T397:AA397"/>
    <mergeCell ref="T398:AA398"/>
    <mergeCell ref="T399:AA399"/>
    <mergeCell ref="T400:AA400"/>
    <mergeCell ref="T402:AA402"/>
    <mergeCell ref="T403:AA403"/>
    <mergeCell ref="T370:AA370"/>
    <mergeCell ref="T371:AA371"/>
    <mergeCell ref="T372:AA372"/>
    <mergeCell ref="T373:AA373"/>
    <mergeCell ref="T374:AA374"/>
    <mergeCell ref="T375:AA375"/>
    <mergeCell ref="T376:AA376"/>
    <mergeCell ref="T377:AA377"/>
    <mergeCell ref="T318:AA318"/>
    <mergeCell ref="T319:AA319"/>
    <mergeCell ref="T420:AA420"/>
    <mergeCell ref="T421:AA421"/>
    <mergeCell ref="T381:AA381"/>
    <mergeCell ref="T327:AA327"/>
    <mergeCell ref="T328:AA328"/>
    <mergeCell ref="T329:AA329"/>
    <mergeCell ref="T330:AA330"/>
    <mergeCell ref="T331:AA331"/>
    <mergeCell ref="T332:AA332"/>
    <mergeCell ref="T333:AA333"/>
    <mergeCell ref="T334:AA334"/>
    <mergeCell ref="T335:AA335"/>
    <mergeCell ref="T336:AA336"/>
    <mergeCell ref="T351:AA351"/>
    <mergeCell ref="T337:AA337"/>
    <mergeCell ref="T338:AA338"/>
    <mergeCell ref="T339:AA339"/>
    <mergeCell ref="T340:AA340"/>
    <mergeCell ref="T283:AA283"/>
    <mergeCell ref="T284:AA284"/>
    <mergeCell ref="T285:AA285"/>
    <mergeCell ref="T286:AA286"/>
    <mergeCell ref="T287:AA287"/>
    <mergeCell ref="T288:AA288"/>
    <mergeCell ref="T289:AA289"/>
    <mergeCell ref="T301:AA301"/>
    <mergeCell ref="T300:AA300"/>
    <mergeCell ref="T290:AA290"/>
    <mergeCell ref="T291:AA291"/>
    <mergeCell ref="T343:AA343"/>
    <mergeCell ref="T323:AC323"/>
    <mergeCell ref="T345:AD345"/>
    <mergeCell ref="T302:AA302"/>
    <mergeCell ref="T303:AA303"/>
    <mergeCell ref="T309:AA309"/>
    <mergeCell ref="T310:AA310"/>
    <mergeCell ref="T311:AA311"/>
    <mergeCell ref="T312:AA312"/>
    <mergeCell ref="T313:AA313"/>
    <mergeCell ref="T314:AA314"/>
    <mergeCell ref="T315:AA315"/>
    <mergeCell ref="T316:AA316"/>
    <mergeCell ref="T317:AA317"/>
    <mergeCell ref="T320:AA320"/>
    <mergeCell ref="T304:AD304"/>
    <mergeCell ref="T266:AA266"/>
    <mergeCell ref="T267:AA267"/>
    <mergeCell ref="T268:AA268"/>
    <mergeCell ref="T269:AA269"/>
    <mergeCell ref="T270:AA270"/>
    <mergeCell ref="T271:AA271"/>
    <mergeCell ref="T272:AA272"/>
    <mergeCell ref="T273:AA273"/>
    <mergeCell ref="T274:AA274"/>
    <mergeCell ref="T275:AA275"/>
    <mergeCell ref="T276:AA276"/>
    <mergeCell ref="T277:AA277"/>
    <mergeCell ref="T278:AA278"/>
    <mergeCell ref="T279:AA279"/>
    <mergeCell ref="T280:AA280"/>
    <mergeCell ref="T281:AA281"/>
    <mergeCell ref="T282:AA282"/>
    <mergeCell ref="T251:AA251"/>
    <mergeCell ref="T252:AA252"/>
    <mergeCell ref="T253:AA253"/>
    <mergeCell ref="T256:AA256"/>
    <mergeCell ref="T257:AA257"/>
    <mergeCell ref="T258:AA258"/>
    <mergeCell ref="T259:AA259"/>
    <mergeCell ref="T260:AA260"/>
    <mergeCell ref="T261:AA261"/>
    <mergeCell ref="T262:AA262"/>
    <mergeCell ref="T263:AA263"/>
    <mergeCell ref="T264:AA264"/>
    <mergeCell ref="T265:AA265"/>
    <mergeCell ref="T305:AA305"/>
    <mergeCell ref="T306:AA306"/>
    <mergeCell ref="T307:AA307"/>
    <mergeCell ref="T308:AA308"/>
    <mergeCell ref="G321:J321"/>
    <mergeCell ref="K321:N321"/>
    <mergeCell ref="O321:R321"/>
    <mergeCell ref="G322:J322"/>
    <mergeCell ref="K322:N322"/>
    <mergeCell ref="O322:R322"/>
    <mergeCell ref="K266:N266"/>
    <mergeCell ref="O266:R266"/>
    <mergeCell ref="K267:N267"/>
    <mergeCell ref="T238:AA238"/>
    <mergeCell ref="T239:AA239"/>
    <mergeCell ref="T174:AA174"/>
    <mergeCell ref="T175:AA175"/>
    <mergeCell ref="T176:AA176"/>
    <mergeCell ref="T177:AA177"/>
    <mergeCell ref="T178:AA178"/>
    <mergeCell ref="T179:AA179"/>
    <mergeCell ref="T180:AA180"/>
    <mergeCell ref="T181:AA181"/>
    <mergeCell ref="T182:AA182"/>
    <mergeCell ref="T183:AA183"/>
    <mergeCell ref="T184:AA184"/>
    <mergeCell ref="T185:AA185"/>
    <mergeCell ref="T187:AA187"/>
    <mergeCell ref="T190:AA190"/>
    <mergeCell ref="T215:AA215"/>
    <mergeCell ref="T196:AA196"/>
    <mergeCell ref="T197:AA197"/>
    <mergeCell ref="T198:AA198"/>
    <mergeCell ref="T199:AA199"/>
    <mergeCell ref="T200:AA200"/>
    <mergeCell ref="T201:AA201"/>
    <mergeCell ref="K417:N417"/>
    <mergeCell ref="O417:R417"/>
    <mergeCell ref="O413:R413"/>
    <mergeCell ref="G414:J414"/>
    <mergeCell ref="K414:N414"/>
    <mergeCell ref="O414:R414"/>
    <mergeCell ref="G411:J411"/>
    <mergeCell ref="K411:N411"/>
    <mergeCell ref="O411:R411"/>
    <mergeCell ref="G412:J412"/>
    <mergeCell ref="K412:N412"/>
    <mergeCell ref="O412:R412"/>
    <mergeCell ref="O403:R403"/>
    <mergeCell ref="C400:F400"/>
    <mergeCell ref="G400:J400"/>
    <mergeCell ref="K401:N401"/>
    <mergeCell ref="O401:R401"/>
    <mergeCell ref="G401:J401"/>
    <mergeCell ref="C416:F416"/>
    <mergeCell ref="C414:F414"/>
    <mergeCell ref="C413:F413"/>
    <mergeCell ref="C412:F412"/>
    <mergeCell ref="C411:F411"/>
    <mergeCell ref="C418:F418"/>
    <mergeCell ref="G418:J418"/>
    <mergeCell ref="K418:N418"/>
    <mergeCell ref="O418:R418"/>
    <mergeCell ref="C415:F415"/>
    <mergeCell ref="G415:J415"/>
    <mergeCell ref="K415:N415"/>
    <mergeCell ref="T100:AC100"/>
    <mergeCell ref="Z101:AB101"/>
    <mergeCell ref="T129:AA129"/>
    <mergeCell ref="T132:AA132"/>
    <mergeCell ref="T133:AA133"/>
    <mergeCell ref="T134:AA134"/>
    <mergeCell ref="T135:AA135"/>
    <mergeCell ref="T136:AA136"/>
    <mergeCell ref="T138:AA138"/>
    <mergeCell ref="T139:AA139"/>
    <mergeCell ref="T140:AA140"/>
    <mergeCell ref="T141:AA141"/>
    <mergeCell ref="T142:AA142"/>
    <mergeCell ref="T143:AA143"/>
    <mergeCell ref="O415:R415"/>
    <mergeCell ref="G416:J416"/>
    <mergeCell ref="K416:N416"/>
    <mergeCell ref="O416:R416"/>
    <mergeCell ref="G413:J413"/>
    <mergeCell ref="K413:N413"/>
    <mergeCell ref="K400:N400"/>
    <mergeCell ref="O400:R400"/>
    <mergeCell ref="C401:F401"/>
    <mergeCell ref="C417:F417"/>
    <mergeCell ref="G417:J417"/>
    <mergeCell ref="C423:F423"/>
    <mergeCell ref="G423:J423"/>
    <mergeCell ref="K423:N423"/>
    <mergeCell ref="O423:R423"/>
    <mergeCell ref="C421:F421"/>
    <mergeCell ref="G421:J421"/>
    <mergeCell ref="K421:N421"/>
    <mergeCell ref="O421:R421"/>
    <mergeCell ref="C422:F422"/>
    <mergeCell ref="G422:J422"/>
    <mergeCell ref="K422:N422"/>
    <mergeCell ref="O422:R422"/>
    <mergeCell ref="C419:F419"/>
    <mergeCell ref="G419:J419"/>
    <mergeCell ref="K419:N419"/>
    <mergeCell ref="O419:R419"/>
    <mergeCell ref="C420:F420"/>
    <mergeCell ref="G420:J420"/>
    <mergeCell ref="K420:N420"/>
    <mergeCell ref="O420:R420"/>
    <mergeCell ref="B5:B6"/>
    <mergeCell ref="C408:F408"/>
    <mergeCell ref="G408:J408"/>
    <mergeCell ref="K408:N408"/>
    <mergeCell ref="O408:R408"/>
    <mergeCell ref="C409:F409"/>
    <mergeCell ref="G409:J409"/>
    <mergeCell ref="K409:N409"/>
    <mergeCell ref="O409:R409"/>
    <mergeCell ref="C406:F406"/>
    <mergeCell ref="G406:J406"/>
    <mergeCell ref="K406:N406"/>
    <mergeCell ref="O406:R406"/>
    <mergeCell ref="C407:F407"/>
    <mergeCell ref="G407:J407"/>
    <mergeCell ref="K407:N407"/>
    <mergeCell ref="O407:R407"/>
    <mergeCell ref="C404:F404"/>
    <mergeCell ref="G404:J404"/>
    <mergeCell ref="K404:N404"/>
    <mergeCell ref="O404:R404"/>
    <mergeCell ref="C405:F405"/>
    <mergeCell ref="G405:J405"/>
    <mergeCell ref="K405:N405"/>
    <mergeCell ref="O405:R405"/>
    <mergeCell ref="C402:F402"/>
    <mergeCell ref="G402:J402"/>
    <mergeCell ref="K402:N402"/>
    <mergeCell ref="O402:R402"/>
    <mergeCell ref="C403:F403"/>
    <mergeCell ref="G403:J403"/>
    <mergeCell ref="K403:N403"/>
    <mergeCell ref="C397:F397"/>
    <mergeCell ref="G397:J397"/>
    <mergeCell ref="K397:N397"/>
    <mergeCell ref="O397:R397"/>
    <mergeCell ref="C399:F399"/>
    <mergeCell ref="G399:J399"/>
    <mergeCell ref="K399:N399"/>
    <mergeCell ref="O399:R399"/>
    <mergeCell ref="C395:F395"/>
    <mergeCell ref="G395:J395"/>
    <mergeCell ref="K395:N395"/>
    <mergeCell ref="O395:R395"/>
    <mergeCell ref="C396:F396"/>
    <mergeCell ref="G396:J396"/>
    <mergeCell ref="K396:N396"/>
    <mergeCell ref="O396:R396"/>
    <mergeCell ref="C393:F393"/>
    <mergeCell ref="G393:J393"/>
    <mergeCell ref="K393:N393"/>
    <mergeCell ref="O393:R393"/>
    <mergeCell ref="C394:F394"/>
    <mergeCell ref="G394:J394"/>
    <mergeCell ref="K394:N394"/>
    <mergeCell ref="O394:R394"/>
    <mergeCell ref="C391:F391"/>
    <mergeCell ref="G391:J391"/>
    <mergeCell ref="K391:N391"/>
    <mergeCell ref="O391:R391"/>
    <mergeCell ref="C392:F392"/>
    <mergeCell ref="G392:J392"/>
    <mergeCell ref="K392:N392"/>
    <mergeCell ref="O392:R392"/>
    <mergeCell ref="C388:F388"/>
    <mergeCell ref="G388:J388"/>
    <mergeCell ref="K388:N388"/>
    <mergeCell ref="O388:R388"/>
    <mergeCell ref="C389:F389"/>
    <mergeCell ref="G389:J389"/>
    <mergeCell ref="K389:N389"/>
    <mergeCell ref="O389:R389"/>
    <mergeCell ref="C386:F386"/>
    <mergeCell ref="G386:J386"/>
    <mergeCell ref="K386:N386"/>
    <mergeCell ref="O386:R386"/>
    <mergeCell ref="C387:F387"/>
    <mergeCell ref="G387:J387"/>
    <mergeCell ref="K387:N387"/>
    <mergeCell ref="O387:R387"/>
    <mergeCell ref="C384:F384"/>
    <mergeCell ref="G384:J384"/>
    <mergeCell ref="K384:N384"/>
    <mergeCell ref="O384:R384"/>
    <mergeCell ref="C385:F385"/>
    <mergeCell ref="G385:J385"/>
    <mergeCell ref="K385:N385"/>
    <mergeCell ref="O385:R385"/>
    <mergeCell ref="C382:F382"/>
    <mergeCell ref="G382:J382"/>
    <mergeCell ref="K382:N382"/>
    <mergeCell ref="O382:R382"/>
    <mergeCell ref="C383:F383"/>
    <mergeCell ref="G383:J383"/>
    <mergeCell ref="K383:N383"/>
    <mergeCell ref="O383:R383"/>
    <mergeCell ref="C380:F380"/>
    <mergeCell ref="G380:J380"/>
    <mergeCell ref="K380:N380"/>
    <mergeCell ref="O380:R380"/>
    <mergeCell ref="C381:F381"/>
    <mergeCell ref="G381:J381"/>
    <mergeCell ref="K381:N381"/>
    <mergeCell ref="O381:R381"/>
    <mergeCell ref="C378:F378"/>
    <mergeCell ref="G378:J378"/>
    <mergeCell ref="K378:N378"/>
    <mergeCell ref="O378:R378"/>
    <mergeCell ref="C379:F379"/>
    <mergeCell ref="G379:J379"/>
    <mergeCell ref="K379:N379"/>
    <mergeCell ref="O379:R379"/>
    <mergeCell ref="C376:F376"/>
    <mergeCell ref="G376:J376"/>
    <mergeCell ref="K376:N376"/>
    <mergeCell ref="O376:R376"/>
    <mergeCell ref="C377:F377"/>
    <mergeCell ref="G377:J377"/>
    <mergeCell ref="K377:N377"/>
    <mergeCell ref="O377:R377"/>
    <mergeCell ref="C374:F374"/>
    <mergeCell ref="G374:J374"/>
    <mergeCell ref="K374:N374"/>
    <mergeCell ref="O374:R374"/>
    <mergeCell ref="C375:F375"/>
    <mergeCell ref="G375:J375"/>
    <mergeCell ref="K375:N375"/>
    <mergeCell ref="O375:R375"/>
    <mergeCell ref="C371:F371"/>
    <mergeCell ref="G371:J371"/>
    <mergeCell ref="K371:N371"/>
    <mergeCell ref="O371:R371"/>
    <mergeCell ref="C372:F372"/>
    <mergeCell ref="G372:J372"/>
    <mergeCell ref="K372:N372"/>
    <mergeCell ref="O372:R372"/>
    <mergeCell ref="C369:F369"/>
    <mergeCell ref="G369:J369"/>
    <mergeCell ref="K369:N369"/>
    <mergeCell ref="O369:R369"/>
    <mergeCell ref="C370:F370"/>
    <mergeCell ref="G370:J370"/>
    <mergeCell ref="K370:N370"/>
    <mergeCell ref="O370:R370"/>
    <mergeCell ref="C367:F367"/>
    <mergeCell ref="G367:J367"/>
    <mergeCell ref="K367:N367"/>
    <mergeCell ref="O367:R367"/>
    <mergeCell ref="C368:F368"/>
    <mergeCell ref="G368:J368"/>
    <mergeCell ref="K368:N368"/>
    <mergeCell ref="O368:R368"/>
    <mergeCell ref="C364:F364"/>
    <mergeCell ref="G364:J364"/>
    <mergeCell ref="K364:N364"/>
    <mergeCell ref="O364:R364"/>
    <mergeCell ref="C365:F365"/>
    <mergeCell ref="G365:J365"/>
    <mergeCell ref="K365:N365"/>
    <mergeCell ref="O365:R365"/>
    <mergeCell ref="C362:F362"/>
    <mergeCell ref="G362:J362"/>
    <mergeCell ref="K362:N362"/>
    <mergeCell ref="O362:R362"/>
    <mergeCell ref="C363:F363"/>
    <mergeCell ref="G363:J363"/>
    <mergeCell ref="K363:N363"/>
    <mergeCell ref="O363:R363"/>
    <mergeCell ref="C359:F359"/>
    <mergeCell ref="G359:J359"/>
    <mergeCell ref="K359:N359"/>
    <mergeCell ref="O359:R359"/>
    <mergeCell ref="C361:F361"/>
    <mergeCell ref="G361:J361"/>
    <mergeCell ref="K361:N361"/>
    <mergeCell ref="O361:R361"/>
    <mergeCell ref="C360:R360"/>
    <mergeCell ref="C357:F357"/>
    <mergeCell ref="G357:J357"/>
    <mergeCell ref="K357:N357"/>
    <mergeCell ref="O357:R357"/>
    <mergeCell ref="C358:F358"/>
    <mergeCell ref="G358:J358"/>
    <mergeCell ref="K358:N358"/>
    <mergeCell ref="O358:R358"/>
    <mergeCell ref="C355:F355"/>
    <mergeCell ref="G355:J355"/>
    <mergeCell ref="K355:N355"/>
    <mergeCell ref="O355:R355"/>
    <mergeCell ref="C356:F356"/>
    <mergeCell ref="G356:J356"/>
    <mergeCell ref="K356:N356"/>
    <mergeCell ref="O356:R356"/>
    <mergeCell ref="C352:F352"/>
    <mergeCell ref="G352:J352"/>
    <mergeCell ref="K352:N352"/>
    <mergeCell ref="O352:R352"/>
    <mergeCell ref="C354:F354"/>
    <mergeCell ref="G354:J354"/>
    <mergeCell ref="K354:N354"/>
    <mergeCell ref="O354:R354"/>
    <mergeCell ref="C353:R353"/>
    <mergeCell ref="C350:F350"/>
    <mergeCell ref="G350:J350"/>
    <mergeCell ref="K350:N350"/>
    <mergeCell ref="O350:R350"/>
    <mergeCell ref="C351:F351"/>
    <mergeCell ref="G351:J351"/>
    <mergeCell ref="K351:N351"/>
    <mergeCell ref="O351:R351"/>
    <mergeCell ref="C348:F348"/>
    <mergeCell ref="G348:J348"/>
    <mergeCell ref="K348:N348"/>
    <mergeCell ref="O348:R348"/>
    <mergeCell ref="C349:F349"/>
    <mergeCell ref="G349:J349"/>
    <mergeCell ref="K349:N349"/>
    <mergeCell ref="O349:R349"/>
    <mergeCell ref="C346:F346"/>
    <mergeCell ref="G346:J346"/>
    <mergeCell ref="K346:N346"/>
    <mergeCell ref="O346:R346"/>
    <mergeCell ref="C347:F347"/>
    <mergeCell ref="G347:J347"/>
    <mergeCell ref="K347:N347"/>
    <mergeCell ref="O347:R347"/>
    <mergeCell ref="C344:F344"/>
    <mergeCell ref="G344:J344"/>
    <mergeCell ref="K344:N344"/>
    <mergeCell ref="O344:R344"/>
    <mergeCell ref="C345:F345"/>
    <mergeCell ref="G345:J345"/>
    <mergeCell ref="K345:N345"/>
    <mergeCell ref="O345:R345"/>
    <mergeCell ref="C341:F341"/>
    <mergeCell ref="G341:J341"/>
    <mergeCell ref="K341:N341"/>
    <mergeCell ref="O341:R341"/>
    <mergeCell ref="C342:F342"/>
    <mergeCell ref="G342:J342"/>
    <mergeCell ref="K342:N342"/>
    <mergeCell ref="O342:R342"/>
    <mergeCell ref="C339:F339"/>
    <mergeCell ref="G339:J339"/>
    <mergeCell ref="K339:N339"/>
    <mergeCell ref="O339:R339"/>
    <mergeCell ref="C340:F340"/>
    <mergeCell ref="G340:J340"/>
    <mergeCell ref="K340:N340"/>
    <mergeCell ref="O340:R340"/>
    <mergeCell ref="C343:R343"/>
    <mergeCell ref="C337:F337"/>
    <mergeCell ref="G337:J337"/>
    <mergeCell ref="K337:N337"/>
    <mergeCell ref="O337:R337"/>
    <mergeCell ref="C338:F338"/>
    <mergeCell ref="G338:J338"/>
    <mergeCell ref="K338:N338"/>
    <mergeCell ref="O338:R338"/>
    <mergeCell ref="C334:F334"/>
    <mergeCell ref="G334:J334"/>
    <mergeCell ref="K334:N334"/>
    <mergeCell ref="O334:R334"/>
    <mergeCell ref="C336:F336"/>
    <mergeCell ref="G336:J336"/>
    <mergeCell ref="K336:N336"/>
    <mergeCell ref="O336:R336"/>
    <mergeCell ref="C332:F332"/>
    <mergeCell ref="G332:J332"/>
    <mergeCell ref="K332:N332"/>
    <mergeCell ref="O332:R332"/>
    <mergeCell ref="C333:F333"/>
    <mergeCell ref="G333:J333"/>
    <mergeCell ref="K333:N333"/>
    <mergeCell ref="O333:R333"/>
    <mergeCell ref="C330:F330"/>
    <mergeCell ref="G330:J330"/>
    <mergeCell ref="K330:N330"/>
    <mergeCell ref="O330:R330"/>
    <mergeCell ref="C331:F331"/>
    <mergeCell ref="G331:J331"/>
    <mergeCell ref="K331:N331"/>
    <mergeCell ref="O331:R331"/>
    <mergeCell ref="G328:J328"/>
    <mergeCell ref="K328:N328"/>
    <mergeCell ref="O328:R328"/>
    <mergeCell ref="G329:J329"/>
    <mergeCell ref="K329:N329"/>
    <mergeCell ref="O329:R329"/>
    <mergeCell ref="G323:J323"/>
    <mergeCell ref="K323:N323"/>
    <mergeCell ref="O323:R323"/>
    <mergeCell ref="G324:J324"/>
    <mergeCell ref="K324:N324"/>
    <mergeCell ref="O324:R324"/>
    <mergeCell ref="C329:F329"/>
    <mergeCell ref="C324:F324"/>
    <mergeCell ref="C323:F323"/>
    <mergeCell ref="C319:F319"/>
    <mergeCell ref="G319:J319"/>
    <mergeCell ref="K319:N319"/>
    <mergeCell ref="O319:R319"/>
    <mergeCell ref="C320:F320"/>
    <mergeCell ref="G320:J320"/>
    <mergeCell ref="K320:N320"/>
    <mergeCell ref="O320:R320"/>
    <mergeCell ref="C307:F307"/>
    <mergeCell ref="G307:J307"/>
    <mergeCell ref="K307:N307"/>
    <mergeCell ref="O307:R307"/>
    <mergeCell ref="C308:F308"/>
    <mergeCell ref="G308:J308"/>
    <mergeCell ref="K308:N308"/>
    <mergeCell ref="O308:R308"/>
    <mergeCell ref="O305:R305"/>
    <mergeCell ref="G306:J306"/>
    <mergeCell ref="K306:N306"/>
    <mergeCell ref="O306:R306"/>
    <mergeCell ref="C317:F317"/>
    <mergeCell ref="G317:J317"/>
    <mergeCell ref="K317:N317"/>
    <mergeCell ref="O317:R317"/>
    <mergeCell ref="C318:F318"/>
    <mergeCell ref="G318:J318"/>
    <mergeCell ref="K318:N318"/>
    <mergeCell ref="O318:R318"/>
    <mergeCell ref="C314:F314"/>
    <mergeCell ref="G314:J314"/>
    <mergeCell ref="K314:N314"/>
    <mergeCell ref="O314:R314"/>
    <mergeCell ref="C316:F316"/>
    <mergeCell ref="G316:J316"/>
    <mergeCell ref="K316:N316"/>
    <mergeCell ref="O316:R316"/>
    <mergeCell ref="C313:F313"/>
    <mergeCell ref="G313:J313"/>
    <mergeCell ref="K313:N313"/>
    <mergeCell ref="O313:R313"/>
    <mergeCell ref="G300:J300"/>
    <mergeCell ref="K300:N300"/>
    <mergeCell ref="O300:R300"/>
    <mergeCell ref="G301:J301"/>
    <mergeCell ref="K301:N301"/>
    <mergeCell ref="O301:R301"/>
    <mergeCell ref="G298:J298"/>
    <mergeCell ref="K298:N298"/>
    <mergeCell ref="O298:R298"/>
    <mergeCell ref="G299:J299"/>
    <mergeCell ref="K299:N299"/>
    <mergeCell ref="O299:R299"/>
    <mergeCell ref="C312:F312"/>
    <mergeCell ref="G312:J312"/>
    <mergeCell ref="K312:N312"/>
    <mergeCell ref="O312:R312"/>
    <mergeCell ref="C296:F296"/>
    <mergeCell ref="G296:J296"/>
    <mergeCell ref="K296:N296"/>
    <mergeCell ref="O296:R296"/>
    <mergeCell ref="C297:F297"/>
    <mergeCell ref="G297:J297"/>
    <mergeCell ref="K297:N297"/>
    <mergeCell ref="O297:R297"/>
    <mergeCell ref="C309:F309"/>
    <mergeCell ref="G309:J309"/>
    <mergeCell ref="K309:N309"/>
    <mergeCell ref="O309:R309"/>
    <mergeCell ref="C311:F311"/>
    <mergeCell ref="G311:J311"/>
    <mergeCell ref="K311:N311"/>
    <mergeCell ref="O311:R311"/>
    <mergeCell ref="C294:F294"/>
    <mergeCell ref="G294:J294"/>
    <mergeCell ref="K294:N294"/>
    <mergeCell ref="O294:R294"/>
    <mergeCell ref="C295:F295"/>
    <mergeCell ref="G295:J295"/>
    <mergeCell ref="K295:N295"/>
    <mergeCell ref="O295:R295"/>
    <mergeCell ref="C302:R302"/>
    <mergeCell ref="C310:R310"/>
    <mergeCell ref="C292:F292"/>
    <mergeCell ref="G292:J292"/>
    <mergeCell ref="K292:N292"/>
    <mergeCell ref="O292:R292"/>
    <mergeCell ref="C293:F293"/>
    <mergeCell ref="G293:J293"/>
    <mergeCell ref="K293:N293"/>
    <mergeCell ref="O293:R293"/>
    <mergeCell ref="C289:F289"/>
    <mergeCell ref="G289:J289"/>
    <mergeCell ref="K289:N289"/>
    <mergeCell ref="O289:R289"/>
    <mergeCell ref="C290:F290"/>
    <mergeCell ref="G290:J290"/>
    <mergeCell ref="K290:N290"/>
    <mergeCell ref="O290:R290"/>
    <mergeCell ref="C287:F287"/>
    <mergeCell ref="G287:J287"/>
    <mergeCell ref="K287:N287"/>
    <mergeCell ref="O287:R287"/>
    <mergeCell ref="C288:F288"/>
    <mergeCell ref="G288:J288"/>
    <mergeCell ref="K288:N288"/>
    <mergeCell ref="O288:R288"/>
    <mergeCell ref="C291:R291"/>
    <mergeCell ref="C285:F285"/>
    <mergeCell ref="G285:J285"/>
    <mergeCell ref="K285:N285"/>
    <mergeCell ref="O285:R285"/>
    <mergeCell ref="C286:F286"/>
    <mergeCell ref="G286:J286"/>
    <mergeCell ref="K286:N286"/>
    <mergeCell ref="O286:R286"/>
    <mergeCell ref="C283:F283"/>
    <mergeCell ref="G283:J283"/>
    <mergeCell ref="K283:N283"/>
    <mergeCell ref="O283:R283"/>
    <mergeCell ref="C284:F284"/>
    <mergeCell ref="G284:J284"/>
    <mergeCell ref="K284:N284"/>
    <mergeCell ref="O284:R284"/>
    <mergeCell ref="C281:F281"/>
    <mergeCell ref="G281:J281"/>
    <mergeCell ref="K281:N281"/>
    <mergeCell ref="O281:R281"/>
    <mergeCell ref="C282:F282"/>
    <mergeCell ref="G282:J282"/>
    <mergeCell ref="K282:N282"/>
    <mergeCell ref="O282:R282"/>
    <mergeCell ref="C280:F280"/>
    <mergeCell ref="G280:J280"/>
    <mergeCell ref="K280:N280"/>
    <mergeCell ref="O280:R280"/>
    <mergeCell ref="C277:F277"/>
    <mergeCell ref="G277:J277"/>
    <mergeCell ref="K277:N277"/>
    <mergeCell ref="O277:R277"/>
    <mergeCell ref="C278:F278"/>
    <mergeCell ref="G278:J278"/>
    <mergeCell ref="K278:N278"/>
    <mergeCell ref="O278:R278"/>
    <mergeCell ref="C275:F275"/>
    <mergeCell ref="G275:J275"/>
    <mergeCell ref="K275:N275"/>
    <mergeCell ref="O275:R275"/>
    <mergeCell ref="C276:F276"/>
    <mergeCell ref="G276:J276"/>
    <mergeCell ref="K276:N276"/>
    <mergeCell ref="O276:R276"/>
    <mergeCell ref="C274:F274"/>
    <mergeCell ref="G274:J274"/>
    <mergeCell ref="K274:N274"/>
    <mergeCell ref="O274:R274"/>
    <mergeCell ref="C270:F270"/>
    <mergeCell ref="G270:J270"/>
    <mergeCell ref="K270:N270"/>
    <mergeCell ref="O270:R270"/>
    <mergeCell ref="C272:F272"/>
    <mergeCell ref="G272:J272"/>
    <mergeCell ref="K272:N272"/>
    <mergeCell ref="O272:R272"/>
    <mergeCell ref="K268:N268"/>
    <mergeCell ref="O268:R268"/>
    <mergeCell ref="K269:N269"/>
    <mergeCell ref="O269:R269"/>
    <mergeCell ref="C279:F279"/>
    <mergeCell ref="G279:J279"/>
    <mergeCell ref="K279:N279"/>
    <mergeCell ref="O279:R279"/>
    <mergeCell ref="O265:R265"/>
    <mergeCell ref="K262:N262"/>
    <mergeCell ref="O262:R262"/>
    <mergeCell ref="K263:N263"/>
    <mergeCell ref="O263:R263"/>
    <mergeCell ref="K260:N260"/>
    <mergeCell ref="O260:R260"/>
    <mergeCell ref="K261:N261"/>
    <mergeCell ref="O261:R261"/>
    <mergeCell ref="K258:N258"/>
    <mergeCell ref="O258:R258"/>
    <mergeCell ref="K259:N259"/>
    <mergeCell ref="O259:R259"/>
    <mergeCell ref="C273:F273"/>
    <mergeCell ref="G273:J273"/>
    <mergeCell ref="K273:N273"/>
    <mergeCell ref="O273:R273"/>
    <mergeCell ref="C271:R271"/>
    <mergeCell ref="K256:N256"/>
    <mergeCell ref="O256:R256"/>
    <mergeCell ref="K257:N257"/>
    <mergeCell ref="O257:R257"/>
    <mergeCell ref="K254:N254"/>
    <mergeCell ref="O254:R254"/>
    <mergeCell ref="K255:N255"/>
    <mergeCell ref="O255:R255"/>
    <mergeCell ref="C249:F249"/>
    <mergeCell ref="G249:J249"/>
    <mergeCell ref="K249:N249"/>
    <mergeCell ref="O249:R249"/>
    <mergeCell ref="C250:F250"/>
    <mergeCell ref="G250:J250"/>
    <mergeCell ref="K250:N250"/>
    <mergeCell ref="O250:R250"/>
    <mergeCell ref="C253:F253"/>
    <mergeCell ref="G253:J253"/>
    <mergeCell ref="C254:F254"/>
    <mergeCell ref="G254:J254"/>
    <mergeCell ref="C255:F255"/>
    <mergeCell ref="G255:J255"/>
    <mergeCell ref="C256:F256"/>
    <mergeCell ref="G256:J256"/>
    <mergeCell ref="C257:F257"/>
    <mergeCell ref="G257:J257"/>
    <mergeCell ref="C252:R252"/>
    <mergeCell ref="C247:F247"/>
    <mergeCell ref="G247:J247"/>
    <mergeCell ref="K247:N247"/>
    <mergeCell ref="O247:R247"/>
    <mergeCell ref="C248:F248"/>
    <mergeCell ref="G248:J248"/>
    <mergeCell ref="K248:N248"/>
    <mergeCell ref="O248:R248"/>
    <mergeCell ref="C245:F245"/>
    <mergeCell ref="G245:J245"/>
    <mergeCell ref="K245:N245"/>
    <mergeCell ref="O245:R245"/>
    <mergeCell ref="C246:F246"/>
    <mergeCell ref="G246:J246"/>
    <mergeCell ref="K246:N246"/>
    <mergeCell ref="O246:R246"/>
    <mergeCell ref="C243:F243"/>
    <mergeCell ref="G243:J243"/>
    <mergeCell ref="K243:N243"/>
    <mergeCell ref="O243:R243"/>
    <mergeCell ref="C244:F244"/>
    <mergeCell ref="G244:J244"/>
    <mergeCell ref="K244:N244"/>
    <mergeCell ref="O244:R244"/>
    <mergeCell ref="C241:F241"/>
    <mergeCell ref="G241:J241"/>
    <mergeCell ref="K241:N241"/>
    <mergeCell ref="O241:R241"/>
    <mergeCell ref="C242:F242"/>
    <mergeCell ref="G242:J242"/>
    <mergeCell ref="K242:N242"/>
    <mergeCell ref="O242:R242"/>
    <mergeCell ref="C238:F238"/>
    <mergeCell ref="G238:J238"/>
    <mergeCell ref="K238:N238"/>
    <mergeCell ref="O238:R238"/>
    <mergeCell ref="C240:F240"/>
    <mergeCell ref="G240:J240"/>
    <mergeCell ref="K240:N240"/>
    <mergeCell ref="O240:R240"/>
    <mergeCell ref="C236:F236"/>
    <mergeCell ref="G236:J236"/>
    <mergeCell ref="K236:N236"/>
    <mergeCell ref="O236:R236"/>
    <mergeCell ref="C237:F237"/>
    <mergeCell ref="G237:J237"/>
    <mergeCell ref="K237:N237"/>
    <mergeCell ref="O237:R237"/>
    <mergeCell ref="C239:R239"/>
    <mergeCell ref="C234:F234"/>
    <mergeCell ref="G234:J234"/>
    <mergeCell ref="K234:N234"/>
    <mergeCell ref="O234:R234"/>
    <mergeCell ref="C235:F235"/>
    <mergeCell ref="G235:J235"/>
    <mergeCell ref="K235:N235"/>
    <mergeCell ref="O235:R235"/>
    <mergeCell ref="C232:F232"/>
    <mergeCell ref="G232:J232"/>
    <mergeCell ref="K232:N232"/>
    <mergeCell ref="O232:R232"/>
    <mergeCell ref="C233:F233"/>
    <mergeCell ref="G233:J233"/>
    <mergeCell ref="K233:N233"/>
    <mergeCell ref="O233:R233"/>
    <mergeCell ref="C230:F230"/>
    <mergeCell ref="G230:J230"/>
    <mergeCell ref="K230:N230"/>
    <mergeCell ref="O230:R230"/>
    <mergeCell ref="C231:F231"/>
    <mergeCell ref="G231:J231"/>
    <mergeCell ref="K231:N231"/>
    <mergeCell ref="O231:R231"/>
    <mergeCell ref="C228:F228"/>
    <mergeCell ref="G228:J228"/>
    <mergeCell ref="K228:N228"/>
    <mergeCell ref="O228:R228"/>
    <mergeCell ref="C229:F229"/>
    <mergeCell ref="G229:J229"/>
    <mergeCell ref="K229:N229"/>
    <mergeCell ref="O229:R229"/>
    <mergeCell ref="C226:F226"/>
    <mergeCell ref="G226:J226"/>
    <mergeCell ref="K226:N226"/>
    <mergeCell ref="O226:R226"/>
    <mergeCell ref="C227:F227"/>
    <mergeCell ref="G227:J227"/>
    <mergeCell ref="K227:N227"/>
    <mergeCell ref="O227:R227"/>
    <mergeCell ref="C224:F224"/>
    <mergeCell ref="G224:J224"/>
    <mergeCell ref="K224:N224"/>
    <mergeCell ref="O224:R224"/>
    <mergeCell ref="C225:F225"/>
    <mergeCell ref="G225:J225"/>
    <mergeCell ref="K225:N225"/>
    <mergeCell ref="O225:R225"/>
    <mergeCell ref="C222:F222"/>
    <mergeCell ref="G222:J222"/>
    <mergeCell ref="K222:N222"/>
    <mergeCell ref="O222:R222"/>
    <mergeCell ref="C223:F223"/>
    <mergeCell ref="G223:J223"/>
    <mergeCell ref="K223:N223"/>
    <mergeCell ref="O223:R223"/>
    <mergeCell ref="C220:F220"/>
    <mergeCell ref="G220:J220"/>
    <mergeCell ref="K220:N220"/>
    <mergeCell ref="O220:R220"/>
    <mergeCell ref="C221:F221"/>
    <mergeCell ref="G221:J221"/>
    <mergeCell ref="K221:N221"/>
    <mergeCell ref="O221:R221"/>
    <mergeCell ref="C218:F218"/>
    <mergeCell ref="G218:J218"/>
    <mergeCell ref="K218:N218"/>
    <mergeCell ref="O218:R218"/>
    <mergeCell ref="C219:F219"/>
    <mergeCell ref="G219:J219"/>
    <mergeCell ref="K219:N219"/>
    <mergeCell ref="O219:R219"/>
    <mergeCell ref="C216:F216"/>
    <mergeCell ref="G216:J216"/>
    <mergeCell ref="K216:N216"/>
    <mergeCell ref="O216:R216"/>
    <mergeCell ref="C217:F217"/>
    <mergeCell ref="G217:J217"/>
    <mergeCell ref="K217:N217"/>
    <mergeCell ref="O217:R217"/>
    <mergeCell ref="C214:F214"/>
    <mergeCell ref="G214:J214"/>
    <mergeCell ref="K214:N214"/>
    <mergeCell ref="O214:R214"/>
    <mergeCell ref="C215:F215"/>
    <mergeCell ref="G215:J215"/>
    <mergeCell ref="K215:N215"/>
    <mergeCell ref="O215:R215"/>
    <mergeCell ref="C211:F211"/>
    <mergeCell ref="G211:J211"/>
    <mergeCell ref="K211:N211"/>
    <mergeCell ref="O211:R211"/>
    <mergeCell ref="C212:F212"/>
    <mergeCell ref="G212:J212"/>
    <mergeCell ref="K212:N212"/>
    <mergeCell ref="O212:R212"/>
    <mergeCell ref="C213:R213"/>
    <mergeCell ref="C209:F209"/>
    <mergeCell ref="G209:J209"/>
    <mergeCell ref="K209:N209"/>
    <mergeCell ref="O209:R209"/>
    <mergeCell ref="C210:F210"/>
    <mergeCell ref="G210:J210"/>
    <mergeCell ref="K210:N210"/>
    <mergeCell ref="O210:R210"/>
    <mergeCell ref="C207:F207"/>
    <mergeCell ref="G207:J207"/>
    <mergeCell ref="K207:N207"/>
    <mergeCell ref="O207:R207"/>
    <mergeCell ref="C208:F208"/>
    <mergeCell ref="G208:J208"/>
    <mergeCell ref="K208:N208"/>
    <mergeCell ref="O208:R208"/>
    <mergeCell ref="C205:F205"/>
    <mergeCell ref="G205:J205"/>
    <mergeCell ref="K205:N205"/>
    <mergeCell ref="O205:R205"/>
    <mergeCell ref="C206:F206"/>
    <mergeCell ref="G206:J206"/>
    <mergeCell ref="K206:N206"/>
    <mergeCell ref="O206:R206"/>
    <mergeCell ref="C204:F204"/>
    <mergeCell ref="G204:J204"/>
    <mergeCell ref="K204:N204"/>
    <mergeCell ref="O204:R204"/>
    <mergeCell ref="C201:F201"/>
    <mergeCell ref="G201:J201"/>
    <mergeCell ref="K201:N201"/>
    <mergeCell ref="O201:R201"/>
    <mergeCell ref="C202:F202"/>
    <mergeCell ref="G202:J202"/>
    <mergeCell ref="K202:N202"/>
    <mergeCell ref="O202:R202"/>
    <mergeCell ref="C199:F199"/>
    <mergeCell ref="G199:J199"/>
    <mergeCell ref="K199:N199"/>
    <mergeCell ref="O199:R199"/>
    <mergeCell ref="C200:F200"/>
    <mergeCell ref="G200:J200"/>
    <mergeCell ref="K200:N200"/>
    <mergeCell ref="O200:R200"/>
    <mergeCell ref="K195:N195"/>
    <mergeCell ref="O195:R195"/>
    <mergeCell ref="C196:F196"/>
    <mergeCell ref="G196:J196"/>
    <mergeCell ref="K196:N196"/>
    <mergeCell ref="O196:R196"/>
    <mergeCell ref="C193:F193"/>
    <mergeCell ref="G193:J193"/>
    <mergeCell ref="K193:N193"/>
    <mergeCell ref="O193:R193"/>
    <mergeCell ref="C194:F194"/>
    <mergeCell ref="G194:J194"/>
    <mergeCell ref="K194:N194"/>
    <mergeCell ref="O194:R194"/>
    <mergeCell ref="C203:F203"/>
    <mergeCell ref="G203:J203"/>
    <mergeCell ref="K203:N203"/>
    <mergeCell ref="O203:R203"/>
    <mergeCell ref="C174:F174"/>
    <mergeCell ref="C175:F175"/>
    <mergeCell ref="C176:F176"/>
    <mergeCell ref="C177:F177"/>
    <mergeCell ref="C178:F178"/>
    <mergeCell ref="C191:F191"/>
    <mergeCell ref="G191:J191"/>
    <mergeCell ref="K191:N191"/>
    <mergeCell ref="O191:R191"/>
    <mergeCell ref="C180:R180"/>
    <mergeCell ref="C192:F192"/>
    <mergeCell ref="G192:J192"/>
    <mergeCell ref="K192:N192"/>
    <mergeCell ref="O192:R192"/>
    <mergeCell ref="C189:F189"/>
    <mergeCell ref="G189:J189"/>
    <mergeCell ref="K189:N189"/>
    <mergeCell ref="O189:R189"/>
    <mergeCell ref="C190:F190"/>
    <mergeCell ref="G190:J190"/>
    <mergeCell ref="K190:N190"/>
    <mergeCell ref="O190:R190"/>
    <mergeCell ref="C187:F187"/>
    <mergeCell ref="G187:J187"/>
    <mergeCell ref="K187:N187"/>
    <mergeCell ref="O187:R187"/>
    <mergeCell ref="C188:F188"/>
    <mergeCell ref="G188:J188"/>
    <mergeCell ref="K188:N188"/>
    <mergeCell ref="O188:R188"/>
    <mergeCell ref="O169:R169"/>
    <mergeCell ref="G178:J178"/>
    <mergeCell ref="K178:N178"/>
    <mergeCell ref="O178:R178"/>
    <mergeCell ref="G179:J179"/>
    <mergeCell ref="K179:N179"/>
    <mergeCell ref="O179:R179"/>
    <mergeCell ref="G176:J176"/>
    <mergeCell ref="K176:N176"/>
    <mergeCell ref="O176:R176"/>
    <mergeCell ref="G177:J177"/>
    <mergeCell ref="K177:N177"/>
    <mergeCell ref="O177:R177"/>
    <mergeCell ref="G174:J174"/>
    <mergeCell ref="K174:N174"/>
    <mergeCell ref="O174:R174"/>
    <mergeCell ref="G175:J175"/>
    <mergeCell ref="K175:N175"/>
    <mergeCell ref="O175:R175"/>
    <mergeCell ref="O173:R173"/>
    <mergeCell ref="G170:J170"/>
    <mergeCell ref="K170:N170"/>
    <mergeCell ref="O170:R170"/>
    <mergeCell ref="G171:J171"/>
    <mergeCell ref="K171:N171"/>
    <mergeCell ref="O171:R171"/>
    <mergeCell ref="O157:R157"/>
    <mergeCell ref="G158:J158"/>
    <mergeCell ref="K158:N158"/>
    <mergeCell ref="O158:R158"/>
    <mergeCell ref="G155:J155"/>
    <mergeCell ref="K155:N155"/>
    <mergeCell ref="O155:R155"/>
    <mergeCell ref="G156:J156"/>
    <mergeCell ref="K156:N156"/>
    <mergeCell ref="O156:R156"/>
    <mergeCell ref="G166:J166"/>
    <mergeCell ref="K166:N166"/>
    <mergeCell ref="O166:R166"/>
    <mergeCell ref="G167:J167"/>
    <mergeCell ref="K167:N167"/>
    <mergeCell ref="O167:R167"/>
    <mergeCell ref="G164:J164"/>
    <mergeCell ref="K164:N164"/>
    <mergeCell ref="O164:R164"/>
    <mergeCell ref="G165:J165"/>
    <mergeCell ref="K165:N165"/>
    <mergeCell ref="O165:R165"/>
    <mergeCell ref="G162:J162"/>
    <mergeCell ref="K162:N162"/>
    <mergeCell ref="O162:R162"/>
    <mergeCell ref="G163:J163"/>
    <mergeCell ref="K163:N163"/>
    <mergeCell ref="O163:R163"/>
    <mergeCell ref="O148:R148"/>
    <mergeCell ref="G145:J145"/>
    <mergeCell ref="K145:N145"/>
    <mergeCell ref="O145:R145"/>
    <mergeCell ref="G146:J146"/>
    <mergeCell ref="K146:N146"/>
    <mergeCell ref="O146:R146"/>
    <mergeCell ref="G143:J143"/>
    <mergeCell ref="K143:N143"/>
    <mergeCell ref="O143:R143"/>
    <mergeCell ref="G144:J144"/>
    <mergeCell ref="K144:N144"/>
    <mergeCell ref="O144:R144"/>
    <mergeCell ref="G153:J153"/>
    <mergeCell ref="K153:N153"/>
    <mergeCell ref="O153:R153"/>
    <mergeCell ref="G154:J154"/>
    <mergeCell ref="K154:N154"/>
    <mergeCell ref="O154:R154"/>
    <mergeCell ref="G151:J151"/>
    <mergeCell ref="K151:N151"/>
    <mergeCell ref="O151:R151"/>
    <mergeCell ref="G152:J152"/>
    <mergeCell ref="K152:N152"/>
    <mergeCell ref="O152:R152"/>
    <mergeCell ref="G149:J149"/>
    <mergeCell ref="K149:N149"/>
    <mergeCell ref="O149:R149"/>
    <mergeCell ref="G150:J150"/>
    <mergeCell ref="K150:N150"/>
    <mergeCell ref="O150:R150"/>
    <mergeCell ref="G148:J148"/>
    <mergeCell ref="O141:R141"/>
    <mergeCell ref="G142:J142"/>
    <mergeCell ref="K142:N142"/>
    <mergeCell ref="O142:R142"/>
    <mergeCell ref="G139:J139"/>
    <mergeCell ref="K139:N139"/>
    <mergeCell ref="O139:R139"/>
    <mergeCell ref="G140:J140"/>
    <mergeCell ref="K140:N140"/>
    <mergeCell ref="O140:R140"/>
    <mergeCell ref="G137:J137"/>
    <mergeCell ref="K137:N137"/>
    <mergeCell ref="O137:R137"/>
    <mergeCell ref="G138:J138"/>
    <mergeCell ref="K138:N138"/>
    <mergeCell ref="O138:R138"/>
    <mergeCell ref="G147:J147"/>
    <mergeCell ref="K147:N147"/>
    <mergeCell ref="O147:R147"/>
    <mergeCell ref="G141:J141"/>
    <mergeCell ref="K141:N141"/>
    <mergeCell ref="G136:J136"/>
    <mergeCell ref="K136:N136"/>
    <mergeCell ref="O136:R136"/>
    <mergeCell ref="G133:J133"/>
    <mergeCell ref="K133:N133"/>
    <mergeCell ref="O133:R133"/>
    <mergeCell ref="G134:J134"/>
    <mergeCell ref="K134:N134"/>
    <mergeCell ref="O134:R134"/>
    <mergeCell ref="G118:J118"/>
    <mergeCell ref="K118:N118"/>
    <mergeCell ref="O118:R118"/>
    <mergeCell ref="G132:J132"/>
    <mergeCell ref="K132:N132"/>
    <mergeCell ref="O132:R132"/>
    <mergeCell ref="K126:N126"/>
    <mergeCell ref="O126:R126"/>
    <mergeCell ref="G127:J127"/>
    <mergeCell ref="K127:N127"/>
    <mergeCell ref="O127:R127"/>
    <mergeCell ref="G128:J128"/>
    <mergeCell ref="K128:N128"/>
    <mergeCell ref="O128:R128"/>
    <mergeCell ref="G129:J129"/>
    <mergeCell ref="K129:N129"/>
    <mergeCell ref="O129:R129"/>
    <mergeCell ref="G130:J130"/>
    <mergeCell ref="K130:N130"/>
    <mergeCell ref="O130:R130"/>
    <mergeCell ref="G135:J135"/>
    <mergeCell ref="K135:N135"/>
    <mergeCell ref="O120:R120"/>
    <mergeCell ref="G105:J105"/>
    <mergeCell ref="K105:N105"/>
    <mergeCell ref="O105:R105"/>
    <mergeCell ref="G107:J107"/>
    <mergeCell ref="K107:N107"/>
    <mergeCell ref="O107:R107"/>
    <mergeCell ref="G116:J116"/>
    <mergeCell ref="K116:N116"/>
    <mergeCell ref="O116:R116"/>
    <mergeCell ref="G117:J117"/>
    <mergeCell ref="K117:N117"/>
    <mergeCell ref="O117:R117"/>
    <mergeCell ref="G114:J114"/>
    <mergeCell ref="K114:N114"/>
    <mergeCell ref="O114:R114"/>
    <mergeCell ref="G115:J115"/>
    <mergeCell ref="K115:N115"/>
    <mergeCell ref="O115:R115"/>
    <mergeCell ref="G112:J112"/>
    <mergeCell ref="K112:N112"/>
    <mergeCell ref="O112:R112"/>
    <mergeCell ref="G113:J113"/>
    <mergeCell ref="K113:N113"/>
    <mergeCell ref="O113:R113"/>
    <mergeCell ref="G103:J103"/>
    <mergeCell ref="K103:N103"/>
    <mergeCell ref="O103:R103"/>
    <mergeCell ref="G104:J104"/>
    <mergeCell ref="K104:N104"/>
    <mergeCell ref="O104:R104"/>
    <mergeCell ref="G101:J101"/>
    <mergeCell ref="K101:N101"/>
    <mergeCell ref="O101:R101"/>
    <mergeCell ref="G102:J102"/>
    <mergeCell ref="K102:N102"/>
    <mergeCell ref="O102:R102"/>
    <mergeCell ref="G99:J99"/>
    <mergeCell ref="K99:N99"/>
    <mergeCell ref="O99:R99"/>
    <mergeCell ref="G100:J100"/>
    <mergeCell ref="K100:N100"/>
    <mergeCell ref="O100:R100"/>
    <mergeCell ref="G97:J97"/>
    <mergeCell ref="K97:N97"/>
    <mergeCell ref="O97:R97"/>
    <mergeCell ref="G98:J98"/>
    <mergeCell ref="K98:N98"/>
    <mergeCell ref="O98:R98"/>
    <mergeCell ref="G95:J95"/>
    <mergeCell ref="K95:N95"/>
    <mergeCell ref="O95:R95"/>
    <mergeCell ref="G96:J96"/>
    <mergeCell ref="K96:N96"/>
    <mergeCell ref="O96:R96"/>
    <mergeCell ref="G93:J93"/>
    <mergeCell ref="K93:N93"/>
    <mergeCell ref="O93:R93"/>
    <mergeCell ref="G94:J94"/>
    <mergeCell ref="K94:N94"/>
    <mergeCell ref="O94:R94"/>
    <mergeCell ref="O85:R85"/>
    <mergeCell ref="G82:J82"/>
    <mergeCell ref="K82:N82"/>
    <mergeCell ref="O82:R82"/>
    <mergeCell ref="G83:J83"/>
    <mergeCell ref="K83:N83"/>
    <mergeCell ref="O83:R83"/>
    <mergeCell ref="G80:J80"/>
    <mergeCell ref="K80:N80"/>
    <mergeCell ref="O80:R80"/>
    <mergeCell ref="G81:J81"/>
    <mergeCell ref="K81:N81"/>
    <mergeCell ref="O81:R81"/>
    <mergeCell ref="G90:J90"/>
    <mergeCell ref="K90:N90"/>
    <mergeCell ref="O90:R90"/>
    <mergeCell ref="G92:J92"/>
    <mergeCell ref="K92:N92"/>
    <mergeCell ref="O92:R92"/>
    <mergeCell ref="G88:J88"/>
    <mergeCell ref="K88:N88"/>
    <mergeCell ref="O88:R88"/>
    <mergeCell ref="G89:J89"/>
    <mergeCell ref="K89:N89"/>
    <mergeCell ref="O89:R89"/>
    <mergeCell ref="G86:J86"/>
    <mergeCell ref="K86:N86"/>
    <mergeCell ref="O86:R86"/>
    <mergeCell ref="G87:J87"/>
    <mergeCell ref="K87:N87"/>
    <mergeCell ref="O87:R87"/>
    <mergeCell ref="O78:R78"/>
    <mergeCell ref="G79:J79"/>
    <mergeCell ref="K79:N79"/>
    <mergeCell ref="O79:R79"/>
    <mergeCell ref="G76:J76"/>
    <mergeCell ref="K76:N76"/>
    <mergeCell ref="O76:R76"/>
    <mergeCell ref="G77:J77"/>
    <mergeCell ref="K77:N77"/>
    <mergeCell ref="O77:R77"/>
    <mergeCell ref="G74:J74"/>
    <mergeCell ref="K74:N74"/>
    <mergeCell ref="O74:R74"/>
    <mergeCell ref="G75:J75"/>
    <mergeCell ref="K75:N75"/>
    <mergeCell ref="O75:R75"/>
    <mergeCell ref="G84:J84"/>
    <mergeCell ref="K84:N84"/>
    <mergeCell ref="O84:R84"/>
    <mergeCell ref="O67:R67"/>
    <mergeCell ref="G64:J64"/>
    <mergeCell ref="K64:N64"/>
    <mergeCell ref="O64:R64"/>
    <mergeCell ref="G65:J65"/>
    <mergeCell ref="K65:N65"/>
    <mergeCell ref="O65:R65"/>
    <mergeCell ref="G62:J62"/>
    <mergeCell ref="K62:N62"/>
    <mergeCell ref="O62:R62"/>
    <mergeCell ref="G63:J63"/>
    <mergeCell ref="K63:N63"/>
    <mergeCell ref="O63:R63"/>
    <mergeCell ref="G72:J72"/>
    <mergeCell ref="K72:N72"/>
    <mergeCell ref="O72:R72"/>
    <mergeCell ref="G73:J73"/>
    <mergeCell ref="K73:N73"/>
    <mergeCell ref="O73:R73"/>
    <mergeCell ref="G70:J70"/>
    <mergeCell ref="K70:N70"/>
    <mergeCell ref="O70:R70"/>
    <mergeCell ref="G71:J71"/>
    <mergeCell ref="K71:N71"/>
    <mergeCell ref="O71:R71"/>
    <mergeCell ref="G68:J68"/>
    <mergeCell ref="K68:N68"/>
    <mergeCell ref="O68:R68"/>
    <mergeCell ref="G69:J69"/>
    <mergeCell ref="K69:N69"/>
    <mergeCell ref="O69:R69"/>
    <mergeCell ref="G67:J67"/>
    <mergeCell ref="O60:R60"/>
    <mergeCell ref="G61:J61"/>
    <mergeCell ref="K61:N61"/>
    <mergeCell ref="O61:R61"/>
    <mergeCell ref="G58:J58"/>
    <mergeCell ref="K58:N58"/>
    <mergeCell ref="O58:R58"/>
    <mergeCell ref="G59:J59"/>
    <mergeCell ref="K59:N59"/>
    <mergeCell ref="O59:R59"/>
    <mergeCell ref="G56:J56"/>
    <mergeCell ref="K56:N56"/>
    <mergeCell ref="O56:R56"/>
    <mergeCell ref="G57:J57"/>
    <mergeCell ref="K57:N57"/>
    <mergeCell ref="O57:R57"/>
    <mergeCell ref="G66:J66"/>
    <mergeCell ref="K66:N66"/>
    <mergeCell ref="O66:R66"/>
    <mergeCell ref="G60:J60"/>
    <mergeCell ref="K60:N60"/>
    <mergeCell ref="O48:R48"/>
    <mergeCell ref="G45:J45"/>
    <mergeCell ref="K45:N45"/>
    <mergeCell ref="O45:R45"/>
    <mergeCell ref="G46:J46"/>
    <mergeCell ref="K46:N46"/>
    <mergeCell ref="O46:R46"/>
    <mergeCell ref="G43:J43"/>
    <mergeCell ref="K43:N43"/>
    <mergeCell ref="O43:R43"/>
    <mergeCell ref="G44:J44"/>
    <mergeCell ref="K44:N44"/>
    <mergeCell ref="O44:R44"/>
    <mergeCell ref="G53:J53"/>
    <mergeCell ref="K53:N53"/>
    <mergeCell ref="O53:R53"/>
    <mergeCell ref="G54:J54"/>
    <mergeCell ref="K54:N54"/>
    <mergeCell ref="O54:R54"/>
    <mergeCell ref="G51:J51"/>
    <mergeCell ref="K51:N51"/>
    <mergeCell ref="O51:R51"/>
    <mergeCell ref="G52:J52"/>
    <mergeCell ref="K52:N52"/>
    <mergeCell ref="O52:R52"/>
    <mergeCell ref="G49:J49"/>
    <mergeCell ref="K49:N49"/>
    <mergeCell ref="O49:R49"/>
    <mergeCell ref="G50:J50"/>
    <mergeCell ref="K50:N50"/>
    <mergeCell ref="O50:R50"/>
    <mergeCell ref="O41:R41"/>
    <mergeCell ref="G42:J42"/>
    <mergeCell ref="K42:N42"/>
    <mergeCell ref="O42:R42"/>
    <mergeCell ref="G39:J39"/>
    <mergeCell ref="K39:N39"/>
    <mergeCell ref="O39:R39"/>
    <mergeCell ref="G40:J40"/>
    <mergeCell ref="K40:N40"/>
    <mergeCell ref="O40:R40"/>
    <mergeCell ref="G37:J37"/>
    <mergeCell ref="K37:N37"/>
    <mergeCell ref="O37:R37"/>
    <mergeCell ref="G38:J38"/>
    <mergeCell ref="K38:N38"/>
    <mergeCell ref="O38:R38"/>
    <mergeCell ref="G47:J47"/>
    <mergeCell ref="K47:N47"/>
    <mergeCell ref="O47:R47"/>
    <mergeCell ref="O30:R30"/>
    <mergeCell ref="G27:J27"/>
    <mergeCell ref="K27:N27"/>
    <mergeCell ref="O27:R27"/>
    <mergeCell ref="G28:J28"/>
    <mergeCell ref="K28:N28"/>
    <mergeCell ref="O28:R28"/>
    <mergeCell ref="G25:J25"/>
    <mergeCell ref="K25:N25"/>
    <mergeCell ref="O25:R25"/>
    <mergeCell ref="G26:J26"/>
    <mergeCell ref="K26:N26"/>
    <mergeCell ref="O26:R26"/>
    <mergeCell ref="G35:J35"/>
    <mergeCell ref="K35:N35"/>
    <mergeCell ref="O35:R35"/>
    <mergeCell ref="G36:J36"/>
    <mergeCell ref="K36:N36"/>
    <mergeCell ref="O36:R36"/>
    <mergeCell ref="G33:J33"/>
    <mergeCell ref="K33:N33"/>
    <mergeCell ref="O33:R33"/>
    <mergeCell ref="G34:J34"/>
    <mergeCell ref="K34:N34"/>
    <mergeCell ref="O34:R34"/>
    <mergeCell ref="G31:J31"/>
    <mergeCell ref="K31:N31"/>
    <mergeCell ref="O31:R31"/>
    <mergeCell ref="G32:J32"/>
    <mergeCell ref="K32:N32"/>
    <mergeCell ref="O32:R32"/>
    <mergeCell ref="G30:J30"/>
    <mergeCell ref="O23:R23"/>
    <mergeCell ref="G24:J24"/>
    <mergeCell ref="K24:N24"/>
    <mergeCell ref="O24:R24"/>
    <mergeCell ref="G21:J21"/>
    <mergeCell ref="K21:N21"/>
    <mergeCell ref="O21:R21"/>
    <mergeCell ref="G22:J22"/>
    <mergeCell ref="K22:N22"/>
    <mergeCell ref="O22:R22"/>
    <mergeCell ref="G19:J19"/>
    <mergeCell ref="K19:N19"/>
    <mergeCell ref="O19:R19"/>
    <mergeCell ref="G20:J20"/>
    <mergeCell ref="K20:N20"/>
    <mergeCell ref="O20:R20"/>
    <mergeCell ref="G29:J29"/>
    <mergeCell ref="K29:N29"/>
    <mergeCell ref="O29:R29"/>
    <mergeCell ref="G23:J23"/>
    <mergeCell ref="K23:N23"/>
    <mergeCell ref="O10:R10"/>
    <mergeCell ref="G5:J6"/>
    <mergeCell ref="G8:J8"/>
    <mergeCell ref="K5:N6"/>
    <mergeCell ref="K8:N8"/>
    <mergeCell ref="O8:R8"/>
    <mergeCell ref="O5:R6"/>
    <mergeCell ref="G17:J17"/>
    <mergeCell ref="K17:N17"/>
    <mergeCell ref="O17:R17"/>
    <mergeCell ref="G18:J18"/>
    <mergeCell ref="K18:N18"/>
    <mergeCell ref="O18:R18"/>
    <mergeCell ref="G15:J15"/>
    <mergeCell ref="K15:N15"/>
    <mergeCell ref="O15:R15"/>
    <mergeCell ref="G16:J16"/>
    <mergeCell ref="K16:N16"/>
    <mergeCell ref="O16:R16"/>
    <mergeCell ref="G13:J13"/>
    <mergeCell ref="K13:N13"/>
    <mergeCell ref="O13:R13"/>
    <mergeCell ref="G14:J14"/>
    <mergeCell ref="K14:N14"/>
    <mergeCell ref="O14:R14"/>
    <mergeCell ref="K10:N10"/>
    <mergeCell ref="O12:R12"/>
    <mergeCell ref="G9:J9"/>
    <mergeCell ref="K9:N9"/>
    <mergeCell ref="O9:R9"/>
    <mergeCell ref="G10:J10"/>
    <mergeCell ref="K12:N12"/>
    <mergeCell ref="C169:F169"/>
    <mergeCell ref="C170:F170"/>
    <mergeCell ref="C171:F171"/>
    <mergeCell ref="C172:F172"/>
    <mergeCell ref="C173:F173"/>
    <mergeCell ref="C164:F164"/>
    <mergeCell ref="C165:F165"/>
    <mergeCell ref="C166:F166"/>
    <mergeCell ref="C167:F167"/>
    <mergeCell ref="C168:F168"/>
    <mergeCell ref="C158:F158"/>
    <mergeCell ref="C159:F159"/>
    <mergeCell ref="C161:F161"/>
    <mergeCell ref="C162:F162"/>
    <mergeCell ref="C163:F163"/>
    <mergeCell ref="C160:R160"/>
    <mergeCell ref="G159:J159"/>
    <mergeCell ref="K159:N159"/>
    <mergeCell ref="O159:R159"/>
    <mergeCell ref="G161:J161"/>
    <mergeCell ref="K161:N161"/>
    <mergeCell ref="O161:R161"/>
    <mergeCell ref="G172:J172"/>
    <mergeCell ref="K172:N172"/>
    <mergeCell ref="O172:R172"/>
    <mergeCell ref="G173:J173"/>
    <mergeCell ref="K173:N173"/>
    <mergeCell ref="G168:J168"/>
    <mergeCell ref="K168:N168"/>
    <mergeCell ref="O168:R168"/>
    <mergeCell ref="G169:J169"/>
    <mergeCell ref="K169:N169"/>
    <mergeCell ref="C154:F154"/>
    <mergeCell ref="C155:F155"/>
    <mergeCell ref="C156:F156"/>
    <mergeCell ref="C157:F157"/>
    <mergeCell ref="C148:F148"/>
    <mergeCell ref="C149:F149"/>
    <mergeCell ref="C150:F150"/>
    <mergeCell ref="C151:F151"/>
    <mergeCell ref="C152:F152"/>
    <mergeCell ref="C143:F143"/>
    <mergeCell ref="C144:F144"/>
    <mergeCell ref="C145:F145"/>
    <mergeCell ref="C146:F146"/>
    <mergeCell ref="C147:F147"/>
    <mergeCell ref="C138:F138"/>
    <mergeCell ref="C139:F139"/>
    <mergeCell ref="C140:F140"/>
    <mergeCell ref="C141:F141"/>
    <mergeCell ref="C142:F142"/>
    <mergeCell ref="K148:N148"/>
    <mergeCell ref="G157:J157"/>
    <mergeCell ref="K157:N157"/>
    <mergeCell ref="C117:F117"/>
    <mergeCell ref="C118:F118"/>
    <mergeCell ref="C120:F120"/>
    <mergeCell ref="C121:F121"/>
    <mergeCell ref="C122:F122"/>
    <mergeCell ref="C112:F112"/>
    <mergeCell ref="C113:F113"/>
    <mergeCell ref="C114:F114"/>
    <mergeCell ref="C115:F115"/>
    <mergeCell ref="C116:F116"/>
    <mergeCell ref="C107:F107"/>
    <mergeCell ref="C108:F108"/>
    <mergeCell ref="C109:F109"/>
    <mergeCell ref="C110:F110"/>
    <mergeCell ref="C111:F111"/>
    <mergeCell ref="C131:R131"/>
    <mergeCell ref="G110:J110"/>
    <mergeCell ref="K110:N110"/>
    <mergeCell ref="O110:R110"/>
    <mergeCell ref="G111:J111"/>
    <mergeCell ref="K111:N111"/>
    <mergeCell ref="O111:R111"/>
    <mergeCell ref="G108:J108"/>
    <mergeCell ref="K108:N108"/>
    <mergeCell ref="O108:R108"/>
    <mergeCell ref="G109:J109"/>
    <mergeCell ref="K109:N109"/>
    <mergeCell ref="O109:R109"/>
    <mergeCell ref="C153:F153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47:F47"/>
    <mergeCell ref="C48:F48"/>
    <mergeCell ref="C49:F49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5:F65"/>
    <mergeCell ref="C56:F56"/>
    <mergeCell ref="C57:F57"/>
    <mergeCell ref="C58:F58"/>
    <mergeCell ref="C59:F59"/>
    <mergeCell ref="K67:N67"/>
    <mergeCell ref="G78:J78"/>
    <mergeCell ref="K78:N78"/>
    <mergeCell ref="G85:J85"/>
    <mergeCell ref="K85:N85"/>
    <mergeCell ref="C60:F60"/>
    <mergeCell ref="K30:N30"/>
    <mergeCell ref="G41:J41"/>
    <mergeCell ref="K41:N41"/>
    <mergeCell ref="G48:J48"/>
    <mergeCell ref="K48:N48"/>
    <mergeCell ref="C50:F50"/>
    <mergeCell ref="T8:AA8"/>
    <mergeCell ref="C40:F40"/>
    <mergeCell ref="C41:F41"/>
    <mergeCell ref="C42:F42"/>
    <mergeCell ref="C43:F43"/>
    <mergeCell ref="C44:F44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G11:J11"/>
    <mergeCell ref="K11:N11"/>
    <mergeCell ref="O11:R11"/>
    <mergeCell ref="G12:J12"/>
    <mergeCell ref="C136:F136"/>
    <mergeCell ref="C137:F137"/>
    <mergeCell ref="A5:A6"/>
    <mergeCell ref="C5:F6"/>
    <mergeCell ref="C8:F8"/>
    <mergeCell ref="C9:F9"/>
    <mergeCell ref="C10:F10"/>
    <mergeCell ref="C11:F11"/>
    <mergeCell ref="C12:F12"/>
    <mergeCell ref="C13:F13"/>
    <mergeCell ref="A90:B90"/>
    <mergeCell ref="A105:B105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61:F61"/>
    <mergeCell ref="C62:F62"/>
    <mergeCell ref="C63:F63"/>
    <mergeCell ref="C64:F64"/>
    <mergeCell ref="G122:J122"/>
    <mergeCell ref="K122:N122"/>
    <mergeCell ref="O122:R122"/>
    <mergeCell ref="G123:J123"/>
    <mergeCell ref="K123:N123"/>
    <mergeCell ref="O123:R123"/>
    <mergeCell ref="G124:J124"/>
    <mergeCell ref="K124:N124"/>
    <mergeCell ref="O124:R124"/>
    <mergeCell ref="G125:J125"/>
    <mergeCell ref="K125:N125"/>
    <mergeCell ref="O125:R125"/>
    <mergeCell ref="G126:J126"/>
    <mergeCell ref="C133:F133"/>
    <mergeCell ref="C134:F134"/>
    <mergeCell ref="C135:F135"/>
    <mergeCell ref="O135:R135"/>
    <mergeCell ref="A212:B212"/>
    <mergeCell ref="A238:B238"/>
    <mergeCell ref="C181:F181"/>
    <mergeCell ref="G181:J181"/>
    <mergeCell ref="K181:N181"/>
    <mergeCell ref="O181:R181"/>
    <mergeCell ref="C182:F182"/>
    <mergeCell ref="G182:J182"/>
    <mergeCell ref="K182:N182"/>
    <mergeCell ref="O182:R182"/>
    <mergeCell ref="C183:F183"/>
    <mergeCell ref="G183:J183"/>
    <mergeCell ref="A251:B251"/>
    <mergeCell ref="A270:B270"/>
    <mergeCell ref="A290:B290"/>
    <mergeCell ref="A301:B301"/>
    <mergeCell ref="K186:N186"/>
    <mergeCell ref="O186:R186"/>
    <mergeCell ref="K183:N183"/>
    <mergeCell ref="G184:J184"/>
    <mergeCell ref="K184:N184"/>
    <mergeCell ref="O184:R184"/>
    <mergeCell ref="C197:F197"/>
    <mergeCell ref="G197:J197"/>
    <mergeCell ref="K197:N197"/>
    <mergeCell ref="O197:R197"/>
    <mergeCell ref="C198:F198"/>
    <mergeCell ref="G198:J198"/>
    <mergeCell ref="K198:N198"/>
    <mergeCell ref="O198:R198"/>
    <mergeCell ref="C195:F195"/>
    <mergeCell ref="G195:J195"/>
    <mergeCell ref="C7:R7"/>
    <mergeCell ref="C91:R91"/>
    <mergeCell ref="C106:R106"/>
    <mergeCell ref="C119:R119"/>
    <mergeCell ref="G121:J121"/>
    <mergeCell ref="K121:N121"/>
    <mergeCell ref="O121:R121"/>
    <mergeCell ref="G120:J120"/>
    <mergeCell ref="A409:B409"/>
    <mergeCell ref="A423:B423"/>
    <mergeCell ref="A2:R2"/>
    <mergeCell ref="A372:B372"/>
    <mergeCell ref="A389:B389"/>
    <mergeCell ref="A397:B397"/>
    <mergeCell ref="A352:B352"/>
    <mergeCell ref="A359:B359"/>
    <mergeCell ref="A365:B365"/>
    <mergeCell ref="A325:B325"/>
    <mergeCell ref="A334:B334"/>
    <mergeCell ref="A342:B342"/>
    <mergeCell ref="C325:F325"/>
    <mergeCell ref="G325:J325"/>
    <mergeCell ref="K325:N325"/>
    <mergeCell ref="O325:R325"/>
    <mergeCell ref="C327:F327"/>
    <mergeCell ref="G327:J327"/>
    <mergeCell ref="K327:N327"/>
    <mergeCell ref="O327:R327"/>
    <mergeCell ref="C328:F328"/>
    <mergeCell ref="A309:B309"/>
    <mergeCell ref="A314:B314"/>
    <mergeCell ref="C303:F303"/>
    <mergeCell ref="T21:Y21"/>
    <mergeCell ref="T152:AA152"/>
    <mergeCell ref="T154:AA154"/>
    <mergeCell ref="T191:AA191"/>
    <mergeCell ref="T192:AA192"/>
    <mergeCell ref="T193:AA193"/>
    <mergeCell ref="T194:AA194"/>
    <mergeCell ref="T195:AA195"/>
    <mergeCell ref="T155:AA155"/>
    <mergeCell ref="T156:AA156"/>
    <mergeCell ref="T157:AA157"/>
    <mergeCell ref="T158:AA158"/>
    <mergeCell ref="T159:AA159"/>
    <mergeCell ref="T160:AA160"/>
    <mergeCell ref="T162:AA162"/>
    <mergeCell ref="T163:AA163"/>
    <mergeCell ref="A54:B54"/>
    <mergeCell ref="C55:R55"/>
    <mergeCell ref="C179:F179"/>
    <mergeCell ref="A118:B118"/>
    <mergeCell ref="A130:B130"/>
    <mergeCell ref="A159:B159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2:F132"/>
    <mergeCell ref="A179:B179"/>
    <mergeCell ref="T34:Y34"/>
    <mergeCell ref="Z34:AA34"/>
    <mergeCell ref="C46:F46"/>
    <mergeCell ref="C366:R366"/>
    <mergeCell ref="T88:Y88"/>
    <mergeCell ref="C322:F322"/>
    <mergeCell ref="C321:F321"/>
    <mergeCell ref="C306:F306"/>
    <mergeCell ref="C301:F301"/>
    <mergeCell ref="C300:F300"/>
    <mergeCell ref="C299:F299"/>
    <mergeCell ref="C298:F298"/>
    <mergeCell ref="C315:R315"/>
    <mergeCell ref="C185:F185"/>
    <mergeCell ref="G185:J185"/>
    <mergeCell ref="K185:N185"/>
    <mergeCell ref="O185:R185"/>
    <mergeCell ref="C186:F186"/>
    <mergeCell ref="G186:J186"/>
    <mergeCell ref="O183:R183"/>
    <mergeCell ref="C184:F184"/>
    <mergeCell ref="G303:J303"/>
    <mergeCell ref="K303:N303"/>
    <mergeCell ref="O303:R303"/>
    <mergeCell ref="C304:F304"/>
    <mergeCell ref="G304:J304"/>
    <mergeCell ref="K304:N304"/>
    <mergeCell ref="O304:R304"/>
    <mergeCell ref="C305:F305"/>
    <mergeCell ref="G305:J305"/>
    <mergeCell ref="K305:N305"/>
    <mergeCell ref="K120:N120"/>
    <mergeCell ref="T65:Y65"/>
    <mergeCell ref="Z68:AA68"/>
    <mergeCell ref="T69:Y69"/>
    <mergeCell ref="Z69:AA69"/>
    <mergeCell ref="T83:Y83"/>
    <mergeCell ref="Z21:AA21"/>
    <mergeCell ref="T22:Y22"/>
    <mergeCell ref="Z22:AA22"/>
    <mergeCell ref="T23:Y23"/>
    <mergeCell ref="Z23:AA23"/>
    <mergeCell ref="T24:Y24"/>
    <mergeCell ref="Z24:AA24"/>
    <mergeCell ref="T25:Y25"/>
    <mergeCell ref="C390:R390"/>
    <mergeCell ref="C398:R398"/>
    <mergeCell ref="C410:R410"/>
    <mergeCell ref="C424:F424"/>
    <mergeCell ref="G424:J424"/>
    <mergeCell ref="K424:N424"/>
    <mergeCell ref="O424:R424"/>
    <mergeCell ref="C251:F251"/>
    <mergeCell ref="G251:J251"/>
    <mergeCell ref="K251:N251"/>
    <mergeCell ref="O251:R251"/>
    <mergeCell ref="K253:N253"/>
    <mergeCell ref="O253:R253"/>
    <mergeCell ref="C51:F51"/>
    <mergeCell ref="C52:F52"/>
    <mergeCell ref="C53:F53"/>
    <mergeCell ref="C54:F54"/>
    <mergeCell ref="C45:F45"/>
    <mergeCell ref="T29:AA29"/>
    <mergeCell ref="T87:Y87"/>
    <mergeCell ref="Z87:AA87"/>
    <mergeCell ref="T70:Y70"/>
    <mergeCell ref="Z70:AA70"/>
    <mergeCell ref="T71:Y71"/>
    <mergeCell ref="Z71:AA71"/>
    <mergeCell ref="T44:Y44"/>
    <mergeCell ref="Z44:AA44"/>
    <mergeCell ref="T51:AC51"/>
    <mergeCell ref="T52:AC52"/>
    <mergeCell ref="Z88:AA88"/>
    <mergeCell ref="T84:Y84"/>
    <mergeCell ref="Z84:AA84"/>
    <mergeCell ref="T85:Y85"/>
    <mergeCell ref="Z85:AA85"/>
    <mergeCell ref="T86:Y86"/>
    <mergeCell ref="Z86:AA86"/>
    <mergeCell ref="T46:Y46"/>
    <mergeCell ref="Z46:AA46"/>
    <mergeCell ref="T47:Y47"/>
    <mergeCell ref="T76:Y76"/>
    <mergeCell ref="Z76:AA76"/>
    <mergeCell ref="T77:Y77"/>
    <mergeCell ref="Z77:AA77"/>
    <mergeCell ref="T73:Y73"/>
    <mergeCell ref="Z73:AA73"/>
    <mergeCell ref="T74:Y74"/>
    <mergeCell ref="Z74:AA74"/>
    <mergeCell ref="T75:Y75"/>
    <mergeCell ref="Z75:AA75"/>
    <mergeCell ref="T58:Y58"/>
    <mergeCell ref="Z58:AA58"/>
    <mergeCell ref="T55:Y55"/>
    <mergeCell ref="Z55:AA55"/>
    <mergeCell ref="T56:Y56"/>
    <mergeCell ref="Z56:AA56"/>
    <mergeCell ref="T57:Y57"/>
    <mergeCell ref="Z57:AA57"/>
    <mergeCell ref="T66:Y66"/>
    <mergeCell ref="Z66:AA66"/>
    <mergeCell ref="T67:Y67"/>
    <mergeCell ref="Z67:AA67"/>
    <mergeCell ref="T68:Y68"/>
    <mergeCell ref="T82:Y82"/>
    <mergeCell ref="Z82:AA82"/>
    <mergeCell ref="Z83:AA83"/>
    <mergeCell ref="T35:Y35"/>
    <mergeCell ref="Z35:AA35"/>
    <mergeCell ref="T36:Y36"/>
    <mergeCell ref="Z36:AA36"/>
    <mergeCell ref="T37:Y37"/>
    <mergeCell ref="Z37:AA37"/>
    <mergeCell ref="T38:Y38"/>
    <mergeCell ref="Z38:AA38"/>
    <mergeCell ref="T39:Y39"/>
    <mergeCell ref="Z39:AA39"/>
    <mergeCell ref="T40:Y40"/>
    <mergeCell ref="Z40:AA40"/>
    <mergeCell ref="T41:Y41"/>
    <mergeCell ref="T62:Y62"/>
    <mergeCell ref="T63:Y63"/>
    <mergeCell ref="Z63:AA63"/>
    <mergeCell ref="T64:Y64"/>
    <mergeCell ref="Z64:AA64"/>
    <mergeCell ref="T131:Y131"/>
    <mergeCell ref="Z131:AA131"/>
    <mergeCell ref="T144:AA144"/>
    <mergeCell ref="T105:Y105"/>
    <mergeCell ref="Z121:AA121"/>
    <mergeCell ref="Z105:AA105"/>
    <mergeCell ref="T106:Y106"/>
    <mergeCell ref="Z106:AA106"/>
    <mergeCell ref="T119:Y119"/>
    <mergeCell ref="Z119:AA119"/>
    <mergeCell ref="T90:Y90"/>
    <mergeCell ref="T49:AC49"/>
    <mergeCell ref="T50:AC50"/>
    <mergeCell ref="Z104:AA104"/>
    <mergeCell ref="T118:Y118"/>
    <mergeCell ref="Z118:AA118"/>
    <mergeCell ref="T89:Y89"/>
    <mergeCell ref="T92:Y92"/>
    <mergeCell ref="Z92:AA92"/>
    <mergeCell ref="T78:Y78"/>
    <mergeCell ref="Z78:AA78"/>
    <mergeCell ref="T79:Y79"/>
    <mergeCell ref="Z79:AA79"/>
    <mergeCell ref="T80:Y80"/>
    <mergeCell ref="Z80:AA80"/>
    <mergeCell ref="T81:Y81"/>
    <mergeCell ref="Z81:AA81"/>
    <mergeCell ref="Z89:AA89"/>
    <mergeCell ref="T53:Y53"/>
    <mergeCell ref="Z53:AA53"/>
    <mergeCell ref="T54:Y54"/>
    <mergeCell ref="Z54:AA54"/>
    <mergeCell ref="T348:AA348"/>
    <mergeCell ref="T349:AA349"/>
    <mergeCell ref="T350:AA350"/>
    <mergeCell ref="T171:AA171"/>
    <mergeCell ref="Z25:AA25"/>
    <mergeCell ref="T26:Y26"/>
    <mergeCell ref="Z26:AA26"/>
    <mergeCell ref="T27:Y27"/>
    <mergeCell ref="Z27:AA27"/>
    <mergeCell ref="T28:Y28"/>
    <mergeCell ref="Z28:AA28"/>
    <mergeCell ref="T30:Y30"/>
    <mergeCell ref="Z30:AA30"/>
    <mergeCell ref="T31:Y31"/>
    <mergeCell ref="Z31:AA31"/>
    <mergeCell ref="T32:Y32"/>
    <mergeCell ref="Z32:AA32"/>
    <mergeCell ref="T33:Y33"/>
    <mergeCell ref="Z33:AA33"/>
    <mergeCell ref="Z65:AA65"/>
    <mergeCell ref="Z41:AA41"/>
    <mergeCell ref="T42:Y42"/>
    <mergeCell ref="Z42:AA42"/>
    <mergeCell ref="T43:Y43"/>
    <mergeCell ref="Z43:AA43"/>
    <mergeCell ref="Z47:AA47"/>
    <mergeCell ref="T48:Y48"/>
    <mergeCell ref="T164:AA164"/>
    <mergeCell ref="Z90:AA90"/>
    <mergeCell ref="T91:Y91"/>
    <mergeCell ref="Z91:AA91"/>
    <mergeCell ref="T93:Y93"/>
    <mergeCell ref="T11:Y11"/>
    <mergeCell ref="Z11:AA11"/>
    <mergeCell ref="T12:Y12"/>
    <mergeCell ref="Z12:AA12"/>
    <mergeCell ref="T13:Y13"/>
    <mergeCell ref="Z13:AA13"/>
    <mergeCell ref="T15:Y15"/>
    <mergeCell ref="Z15:AA15"/>
    <mergeCell ref="T14:AA14"/>
    <mergeCell ref="T16:AA16"/>
    <mergeCell ref="T19:Y19"/>
    <mergeCell ref="Z19:AA19"/>
    <mergeCell ref="T20:Y20"/>
    <mergeCell ref="T347:AA347"/>
    <mergeCell ref="T165:AA165"/>
    <mergeCell ref="T167:AA167"/>
    <mergeCell ref="T169:AA169"/>
    <mergeCell ref="T170:AA170"/>
    <mergeCell ref="Z93:AA93"/>
    <mergeCell ref="T94:Y94"/>
    <mergeCell ref="T98:Y98"/>
    <mergeCell ref="Z98:AA98"/>
    <mergeCell ref="T101:Y101"/>
    <mergeCell ref="T102:Y102"/>
    <mergeCell ref="Z102:AA102"/>
    <mergeCell ref="T103:Y103"/>
    <mergeCell ref="Z103:AA103"/>
    <mergeCell ref="T104:Y104"/>
    <mergeCell ref="Z20:AA20"/>
    <mergeCell ref="T17:AB17"/>
    <mergeCell ref="Z48:AA48"/>
    <mergeCell ref="T60:AA60"/>
    <mergeCell ref="A424:B424"/>
    <mergeCell ref="C326:R326"/>
    <mergeCell ref="C335:R335"/>
    <mergeCell ref="T59:AB59"/>
    <mergeCell ref="T72:AB72"/>
    <mergeCell ref="T18:AB18"/>
    <mergeCell ref="Z62:AB62"/>
    <mergeCell ref="T61:AC61"/>
    <mergeCell ref="T292:AA292"/>
    <mergeCell ref="T294:AA294"/>
    <mergeCell ref="T295:AA295"/>
    <mergeCell ref="T296:AA296"/>
    <mergeCell ref="T297:AA297"/>
    <mergeCell ref="T298:AA298"/>
    <mergeCell ref="T299:AA299"/>
    <mergeCell ref="T127:Y127"/>
    <mergeCell ref="Z127:AA127"/>
    <mergeCell ref="T128:Y128"/>
    <mergeCell ref="Z128:AA128"/>
    <mergeCell ref="T146:AA146"/>
    <mergeCell ref="T147:AA147"/>
    <mergeCell ref="T148:AA148"/>
    <mergeCell ref="T130:Y130"/>
    <mergeCell ref="Z130:AA130"/>
    <mergeCell ref="T145:AA145"/>
    <mergeCell ref="T172:AA172"/>
    <mergeCell ref="T173:AA173"/>
    <mergeCell ref="T45:Y45"/>
    <mergeCell ref="Z45:AA45"/>
    <mergeCell ref="T344:AA344"/>
    <mergeCell ref="T346:AA346"/>
    <mergeCell ref="Z94:AA94"/>
    <mergeCell ref="C427:F427"/>
    <mergeCell ref="G427:J427"/>
    <mergeCell ref="K427:N427"/>
    <mergeCell ref="C267:F267"/>
    <mergeCell ref="G267:J267"/>
    <mergeCell ref="C268:F268"/>
    <mergeCell ref="G268:J268"/>
    <mergeCell ref="C269:F269"/>
    <mergeCell ref="G269:J269"/>
    <mergeCell ref="C258:F258"/>
    <mergeCell ref="G258:J258"/>
    <mergeCell ref="C259:F259"/>
    <mergeCell ref="G259:J259"/>
    <mergeCell ref="C260:F260"/>
    <mergeCell ref="G260:J260"/>
    <mergeCell ref="C261:F261"/>
    <mergeCell ref="G261:J261"/>
    <mergeCell ref="C262:F262"/>
    <mergeCell ref="G262:J262"/>
    <mergeCell ref="C263:F263"/>
    <mergeCell ref="G263:J263"/>
    <mergeCell ref="C264:F264"/>
    <mergeCell ref="G264:J264"/>
    <mergeCell ref="C265:F265"/>
    <mergeCell ref="G265:J265"/>
    <mergeCell ref="C266:F266"/>
    <mergeCell ref="G266:J266"/>
    <mergeCell ref="C373:R373"/>
    <mergeCell ref="O267:R267"/>
    <mergeCell ref="K264:N264"/>
    <mergeCell ref="O264:R264"/>
    <mergeCell ref="K265:N265"/>
    <mergeCell ref="T211:AG211"/>
    <mergeCell ref="T216:AG216"/>
    <mergeCell ref="T217:AG217"/>
    <mergeCell ref="T218:AG218"/>
    <mergeCell ref="T219:AG219"/>
    <mergeCell ref="T114:AG114"/>
    <mergeCell ref="T115:AG115"/>
    <mergeCell ref="T117:AG117"/>
    <mergeCell ref="A1:R1"/>
    <mergeCell ref="A3:F3"/>
    <mergeCell ref="H3:K3"/>
    <mergeCell ref="L4:N4"/>
    <mergeCell ref="O4:R4"/>
    <mergeCell ref="T95:Y95"/>
    <mergeCell ref="Z95:AA95"/>
    <mergeCell ref="T96:Y96"/>
    <mergeCell ref="Z96:AA96"/>
    <mergeCell ref="T97:Y97"/>
    <mergeCell ref="Z97:AA97"/>
    <mergeCell ref="T122:Y122"/>
    <mergeCell ref="Z122:AA122"/>
    <mergeCell ref="T123:Y123"/>
    <mergeCell ref="Z123:AA123"/>
    <mergeCell ref="T124:Y124"/>
    <mergeCell ref="T107:AG107"/>
    <mergeCell ref="T108:AG108"/>
    <mergeCell ref="T109:AG109"/>
    <mergeCell ref="T110:AG110"/>
    <mergeCell ref="T9:Y9"/>
    <mergeCell ref="Z9:AA9"/>
    <mergeCell ref="T10:Y10"/>
    <mergeCell ref="Z10:AA10"/>
    <mergeCell ref="T111:AG111"/>
    <mergeCell ref="T112:AG112"/>
    <mergeCell ref="T113:AG113"/>
    <mergeCell ref="T220:AG220"/>
    <mergeCell ref="T221:AG221"/>
    <mergeCell ref="T222:AG222"/>
    <mergeCell ref="T223:AG223"/>
    <mergeCell ref="T224:AG224"/>
    <mergeCell ref="T225:AG225"/>
    <mergeCell ref="T226:AG226"/>
    <mergeCell ref="T227:AG227"/>
    <mergeCell ref="T228:AG228"/>
    <mergeCell ref="T229:AG229"/>
    <mergeCell ref="Z124:AA124"/>
    <mergeCell ref="T125:Y125"/>
    <mergeCell ref="Z125:AA125"/>
    <mergeCell ref="T126:Y126"/>
    <mergeCell ref="Z126:AA126"/>
    <mergeCell ref="T213:AA213"/>
    <mergeCell ref="T214:AA214"/>
    <mergeCell ref="T120:Y120"/>
    <mergeCell ref="Z120:AA120"/>
    <mergeCell ref="T121:Y121"/>
    <mergeCell ref="T149:AA149"/>
    <mergeCell ref="T150:AA150"/>
    <mergeCell ref="T151:AA151"/>
    <mergeCell ref="T205:AA205"/>
    <mergeCell ref="T206:AA206"/>
    <mergeCell ref="T188:AE188"/>
    <mergeCell ref="T186:AF186"/>
    <mergeCell ref="T189:AE189"/>
    <mergeCell ref="T210:AG210"/>
    <mergeCell ref="AB251:AG251"/>
    <mergeCell ref="T249:AI249"/>
    <mergeCell ref="T240:AI240"/>
    <mergeCell ref="T293:AE293"/>
    <mergeCell ref="T422:AC422"/>
    <mergeCell ref="T237:AG237"/>
    <mergeCell ref="T209:AG209"/>
    <mergeCell ref="T241:AG241"/>
    <mergeCell ref="T242:AG242"/>
    <mergeCell ref="T243:AG243"/>
    <mergeCell ref="T244:AG244"/>
    <mergeCell ref="T245:AG245"/>
    <mergeCell ref="T246:AG246"/>
    <mergeCell ref="T247:AG247"/>
    <mergeCell ref="T248:AG248"/>
    <mergeCell ref="T250:AG250"/>
    <mergeCell ref="T116:AG116"/>
    <mergeCell ref="T230:AG230"/>
    <mergeCell ref="T231:AG231"/>
    <mergeCell ref="T232:AG232"/>
    <mergeCell ref="T233:AG233"/>
    <mergeCell ref="T234:AG234"/>
    <mergeCell ref="T235:AG235"/>
    <mergeCell ref="T236:AG236"/>
    <mergeCell ref="T254:AA254"/>
    <mergeCell ref="T255:AA255"/>
    <mergeCell ref="T207:AA207"/>
    <mergeCell ref="T208:AA208"/>
    <mergeCell ref="T212:AA212"/>
    <mergeCell ref="T202:AA202"/>
    <mergeCell ref="T203:AA203"/>
    <mergeCell ref="T204:AA204"/>
  </mergeCells>
  <pageMargins left="0.25" right="0.25" top="0.57999999999999996" bottom="0.75" header="0.32" footer="0.3"/>
  <pageSetup paperSize="9" scale="64" orientation="portrait" r:id="rId1"/>
  <rowBreaks count="2" manualBreakCount="2">
    <brk id="199" max="21" man="1"/>
    <brk id="251" max="21" man="1"/>
  </rowBreaks>
  <colBreaks count="1" manualBreakCount="1">
    <brk id="19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19"/>
  <sheetViews>
    <sheetView showGridLines="0" rightToLeft="1" view="pageBreakPreview" zoomScale="80" zoomScaleSheetLayoutView="80" workbookViewId="0">
      <selection sqref="A1:I1"/>
    </sheetView>
  </sheetViews>
  <sheetFormatPr defaultRowHeight="20.25"/>
  <cols>
    <col min="1" max="1" width="12" style="167" customWidth="1"/>
    <col min="2" max="2" width="19.125" style="167" customWidth="1"/>
    <col min="3" max="3" width="18.375" style="167" customWidth="1"/>
    <col min="4" max="5" width="16.625" style="167" customWidth="1"/>
    <col min="6" max="7" width="13.25" style="167" customWidth="1"/>
    <col min="8" max="8" width="16.75" style="167" customWidth="1"/>
    <col min="9" max="9" width="10.5" style="167" customWidth="1"/>
    <col min="10" max="10" width="3.625" style="31" customWidth="1"/>
    <col min="11" max="17" width="9" style="167"/>
    <col min="18" max="16384" width="9" style="31"/>
  </cols>
  <sheetData>
    <row r="1" spans="1:17" s="4" customFormat="1" ht="38.25" customHeight="1">
      <c r="A1" s="646" t="s">
        <v>99</v>
      </c>
      <c r="B1" s="646"/>
      <c r="C1" s="646"/>
      <c r="D1" s="646"/>
      <c r="E1" s="646"/>
      <c r="F1" s="646"/>
      <c r="G1" s="646"/>
      <c r="H1" s="646"/>
      <c r="I1" s="646"/>
      <c r="J1" s="60"/>
    </row>
    <row r="2" spans="1:17" s="67" customFormat="1" ht="30" customHeight="1">
      <c r="A2" s="241" t="s">
        <v>0</v>
      </c>
      <c r="B2" s="207">
        <f>'صفحه اصلی'!C7</f>
        <v>0</v>
      </c>
      <c r="C2" s="207"/>
      <c r="D2" s="289"/>
      <c r="E2" s="289"/>
      <c r="F2" s="241"/>
      <c r="G2" s="241"/>
      <c r="H2" s="241"/>
      <c r="I2" s="241"/>
      <c r="J2" s="241"/>
    </row>
    <row r="3" spans="1:17" s="67" customFormat="1" ht="28.5" customHeight="1" thickBot="1">
      <c r="A3" s="257" t="s">
        <v>1</v>
      </c>
      <c r="B3" s="64">
        <f>'صفحه اصلی'!C8</f>
        <v>0</v>
      </c>
      <c r="C3" s="65" t="s">
        <v>31</v>
      </c>
      <c r="D3" s="334"/>
      <c r="E3" s="65" t="s">
        <v>53</v>
      </c>
      <c r="F3" s="64">
        <f>'صفحه اصلی'!C9</f>
        <v>0</v>
      </c>
      <c r="G3" s="65" t="s">
        <v>100</v>
      </c>
      <c r="H3" s="787"/>
      <c r="I3" s="787"/>
      <c r="J3" s="66"/>
      <c r="K3" s="93"/>
      <c r="L3" s="93"/>
      <c r="M3" s="93"/>
      <c r="N3" s="93"/>
      <c r="O3" s="93"/>
      <c r="P3" s="93"/>
      <c r="Q3" s="93"/>
    </row>
    <row r="4" spans="1:17" s="167" customFormat="1" ht="24.75" customHeight="1" thickTop="1">
      <c r="A4" s="674" t="s">
        <v>90</v>
      </c>
      <c r="B4" s="676" t="s">
        <v>91</v>
      </c>
      <c r="C4" s="676" t="s">
        <v>16</v>
      </c>
      <c r="D4" s="676" t="s">
        <v>92</v>
      </c>
      <c r="E4" s="676" t="s">
        <v>34</v>
      </c>
      <c r="F4" s="676" t="s">
        <v>35</v>
      </c>
      <c r="G4" s="676" t="s">
        <v>2</v>
      </c>
      <c r="H4" s="676" t="s">
        <v>96</v>
      </c>
      <c r="I4" s="678" t="s">
        <v>97</v>
      </c>
      <c r="J4" s="168"/>
      <c r="K4" s="91"/>
      <c r="L4" s="91"/>
      <c r="M4" s="91"/>
      <c r="N4" s="91"/>
      <c r="O4" s="91"/>
      <c r="P4" s="91"/>
      <c r="Q4" s="91"/>
    </row>
    <row r="5" spans="1:17" s="167" customFormat="1" ht="24.75" customHeight="1" thickBot="1">
      <c r="A5" s="675"/>
      <c r="B5" s="677"/>
      <c r="C5" s="677"/>
      <c r="D5" s="677"/>
      <c r="E5" s="677"/>
      <c r="F5" s="677"/>
      <c r="G5" s="677"/>
      <c r="H5" s="677"/>
      <c r="I5" s="679"/>
      <c r="J5" s="168"/>
      <c r="K5" s="91"/>
      <c r="L5" s="91"/>
      <c r="M5" s="91"/>
      <c r="N5" s="91"/>
      <c r="O5" s="91"/>
      <c r="P5" s="91"/>
      <c r="Q5" s="91"/>
    </row>
    <row r="6" spans="1:17" s="167" customFormat="1" ht="28.5" customHeight="1">
      <c r="A6" s="309" t="s">
        <v>24</v>
      </c>
      <c r="B6" s="325" t="s">
        <v>103</v>
      </c>
      <c r="C6" s="337">
        <f>' 3'!L6</f>
        <v>0</v>
      </c>
      <c r="D6" s="224"/>
      <c r="E6" s="224"/>
      <c r="F6" s="224"/>
      <c r="G6" s="224"/>
      <c r="H6" s="243">
        <f t="shared" ref="H6:H12" si="0">SUM(E6:G6)</f>
        <v>0</v>
      </c>
      <c r="I6" s="220"/>
      <c r="J6" s="168"/>
      <c r="K6" s="590" t="str">
        <f>IF(C13='13 استانی'!C20," ","مغایرت جمع اعتبار اصلاحی با اعتبار اصلاحی فرم13ه")</f>
        <v xml:space="preserve"> </v>
      </c>
      <c r="L6" s="590"/>
      <c r="M6" s="590"/>
      <c r="N6" s="590"/>
      <c r="O6" s="590"/>
      <c r="P6" s="590"/>
      <c r="Q6" s="590"/>
    </row>
    <row r="7" spans="1:17" s="167" customFormat="1" ht="28.5" customHeight="1">
      <c r="A7" s="285" t="s">
        <v>25</v>
      </c>
      <c r="B7" s="326" t="s">
        <v>104</v>
      </c>
      <c r="C7" s="337">
        <f>' 3'!L7</f>
        <v>0</v>
      </c>
      <c r="D7" s="224"/>
      <c r="E7" s="224"/>
      <c r="F7" s="224"/>
      <c r="G7" s="224"/>
      <c r="H7" s="243">
        <f t="shared" si="0"/>
        <v>0</v>
      </c>
      <c r="I7" s="225"/>
      <c r="J7" s="168"/>
      <c r="K7" s="590" t="str">
        <f>IF(D13='13 استانی'!D20," ","مغایرت جمع ستون اعتبارخارج ازشمول با اعتبار خارج ازشمول فرم 13ه")</f>
        <v xml:space="preserve"> </v>
      </c>
      <c r="L7" s="590"/>
      <c r="M7" s="590"/>
      <c r="N7" s="590"/>
      <c r="O7" s="590"/>
      <c r="P7" s="590"/>
      <c r="Q7" s="590"/>
    </row>
    <row r="8" spans="1:17" s="167" customFormat="1" ht="28.5" customHeight="1">
      <c r="A8" s="309" t="s">
        <v>50</v>
      </c>
      <c r="B8" s="327" t="s">
        <v>105</v>
      </c>
      <c r="C8" s="337">
        <f>' 3'!L8</f>
        <v>0</v>
      </c>
      <c r="D8" s="224"/>
      <c r="E8" s="224"/>
      <c r="F8" s="224"/>
      <c r="G8" s="224"/>
      <c r="H8" s="243">
        <f t="shared" si="0"/>
        <v>0</v>
      </c>
      <c r="I8" s="227"/>
      <c r="J8" s="168"/>
      <c r="K8" s="590" t="str">
        <f>IF(E13='13 استانی'!E20," ","مغایرت جمع ستون هزینه با هزینه فرم 13ه")</f>
        <v xml:space="preserve"> </v>
      </c>
      <c r="L8" s="590"/>
      <c r="M8" s="590"/>
      <c r="N8" s="590"/>
      <c r="O8" s="590"/>
      <c r="P8" s="590"/>
      <c r="Q8" s="590"/>
    </row>
    <row r="9" spans="1:17" s="167" customFormat="1" ht="28.5" customHeight="1">
      <c r="A9" s="328" t="s">
        <v>26</v>
      </c>
      <c r="B9" s="329" t="s">
        <v>106</v>
      </c>
      <c r="C9" s="337">
        <f>' 3'!L9</f>
        <v>0</v>
      </c>
      <c r="D9" s="224"/>
      <c r="E9" s="224"/>
      <c r="F9" s="224"/>
      <c r="G9" s="224"/>
      <c r="H9" s="243">
        <f t="shared" si="0"/>
        <v>0</v>
      </c>
      <c r="I9" s="225"/>
      <c r="J9" s="168"/>
      <c r="K9" s="590" t="str">
        <f>IF(F13='13 استانی'!F20," ","مغایرت جمع ستون پیش پرداخت با پیش پرداخت فرم 13ه")</f>
        <v xml:space="preserve"> </v>
      </c>
      <c r="L9" s="590"/>
      <c r="M9" s="590"/>
      <c r="N9" s="590"/>
      <c r="O9" s="590"/>
      <c r="P9" s="590"/>
      <c r="Q9" s="590"/>
    </row>
    <row r="10" spans="1:17" s="167" customFormat="1" ht="28.5" customHeight="1">
      <c r="A10" s="328" t="s">
        <v>102</v>
      </c>
      <c r="B10" s="329" t="s">
        <v>107</v>
      </c>
      <c r="C10" s="337">
        <f>' 3'!L10</f>
        <v>0</v>
      </c>
      <c r="D10" s="224"/>
      <c r="E10" s="224"/>
      <c r="F10" s="224"/>
      <c r="G10" s="224"/>
      <c r="H10" s="243">
        <f t="shared" si="0"/>
        <v>0</v>
      </c>
      <c r="I10" s="220"/>
      <c r="J10" s="168"/>
      <c r="K10" s="590" t="str">
        <f>IF(G13='13 ابلاغی'!G18," ","مغایرت جمع ستون علی الحساب با علی الحساب فرم 13ه")</f>
        <v xml:space="preserve"> </v>
      </c>
      <c r="L10" s="590"/>
      <c r="M10" s="590"/>
      <c r="N10" s="590"/>
      <c r="O10" s="590"/>
      <c r="P10" s="590"/>
      <c r="Q10" s="590"/>
    </row>
    <row r="11" spans="1:17" s="167" customFormat="1" ht="28.5" customHeight="1">
      <c r="A11" s="328" t="s">
        <v>28</v>
      </c>
      <c r="B11" s="329" t="s">
        <v>108</v>
      </c>
      <c r="C11" s="337">
        <f>' 3'!L11</f>
        <v>0</v>
      </c>
      <c r="D11" s="224"/>
      <c r="E11" s="224"/>
      <c r="F11" s="224"/>
      <c r="G11" s="224"/>
      <c r="H11" s="243">
        <f t="shared" si="0"/>
        <v>0</v>
      </c>
      <c r="I11" s="220"/>
      <c r="J11" s="168"/>
      <c r="K11" s="590" t="str">
        <f>IF(H13='13 استانی'!H20," ","مغایرت جمع ستون عملکرد با جمع عملکرد فرم 13ه")</f>
        <v xml:space="preserve"> </v>
      </c>
      <c r="L11" s="590"/>
      <c r="M11" s="590"/>
      <c r="N11" s="590"/>
      <c r="O11" s="590"/>
      <c r="P11" s="590"/>
      <c r="Q11" s="590"/>
    </row>
    <row r="12" spans="1:17" s="167" customFormat="1" ht="28.5" customHeight="1" thickBot="1">
      <c r="A12" s="286" t="s">
        <v>29</v>
      </c>
      <c r="B12" s="330" t="s">
        <v>109</v>
      </c>
      <c r="C12" s="337">
        <f>' 3'!L12</f>
        <v>0</v>
      </c>
      <c r="D12" s="114"/>
      <c r="E12" s="354"/>
      <c r="F12" s="354"/>
      <c r="G12" s="354"/>
      <c r="H12" s="358">
        <f t="shared" si="0"/>
        <v>0</v>
      </c>
      <c r="I12" s="230"/>
      <c r="J12" s="168"/>
      <c r="K12" s="590"/>
      <c r="L12" s="590"/>
      <c r="M12" s="590"/>
      <c r="N12" s="590"/>
      <c r="O12" s="590"/>
      <c r="P12" s="590"/>
      <c r="Q12" s="590"/>
    </row>
    <row r="13" spans="1:17" s="167" customFormat="1" ht="28.5" customHeight="1" thickBot="1">
      <c r="A13" s="780" t="s">
        <v>93</v>
      </c>
      <c r="B13" s="781"/>
      <c r="C13" s="77">
        <f>SUM(C6:C12)</f>
        <v>0</v>
      </c>
      <c r="D13" s="24">
        <f t="shared" ref="D13:H13" si="1">SUM(D6:D12)</f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102"/>
      <c r="J13" s="168"/>
      <c r="K13" s="590"/>
      <c r="L13" s="590"/>
      <c r="M13" s="590"/>
      <c r="N13" s="590"/>
      <c r="O13" s="590"/>
      <c r="P13" s="590"/>
      <c r="Q13" s="590"/>
    </row>
    <row r="14" spans="1:17" s="4" customFormat="1" ht="28.5" customHeight="1" thickBot="1">
      <c r="A14" s="782" t="s">
        <v>94</v>
      </c>
      <c r="B14" s="783"/>
      <c r="C14" s="783"/>
      <c r="D14" s="783"/>
      <c r="E14" s="783"/>
      <c r="F14" s="783"/>
      <c r="G14" s="783"/>
      <c r="H14" s="783"/>
      <c r="I14" s="784"/>
      <c r="J14" s="331"/>
      <c r="K14" s="590"/>
      <c r="L14" s="590"/>
      <c r="M14" s="590"/>
      <c r="N14" s="590"/>
      <c r="O14" s="590"/>
      <c r="P14" s="590"/>
      <c r="Q14" s="590"/>
    </row>
    <row r="15" spans="1:17" s="67" customFormat="1" ht="38.25" customHeight="1" thickTop="1">
      <c r="A15" s="240" t="s">
        <v>95</v>
      </c>
      <c r="B15" s="240">
        <f>'صفحه اصلی'!C10</f>
        <v>0</v>
      </c>
      <c r="C15" s="240" t="s">
        <v>8</v>
      </c>
      <c r="D15" s="240">
        <f>'صفحه اصلی'!C11</f>
        <v>0</v>
      </c>
      <c r="E15" s="287" t="s">
        <v>9</v>
      </c>
      <c r="F15" s="240">
        <f>'صفحه اصلی'!C12</f>
        <v>0</v>
      </c>
      <c r="H15" s="288" t="s">
        <v>10</v>
      </c>
      <c r="I15" s="289">
        <f>'صفحه اصلی'!C13</f>
        <v>0</v>
      </c>
      <c r="K15" s="93"/>
      <c r="L15" s="93"/>
      <c r="M15" s="93"/>
      <c r="N15" s="93"/>
      <c r="O15" s="93"/>
      <c r="P15" s="93"/>
      <c r="Q15" s="93"/>
    </row>
    <row r="16" spans="1:17" s="167" customFormat="1" ht="26.25" customHeight="1" thickBot="1">
      <c r="A16" s="587" t="s">
        <v>19</v>
      </c>
      <c r="B16" s="587"/>
      <c r="C16" s="587"/>
      <c r="D16" s="587"/>
      <c r="E16" s="587"/>
      <c r="F16" s="587"/>
      <c r="G16" s="587"/>
      <c r="H16" s="587"/>
      <c r="I16" s="266" t="s">
        <v>101</v>
      </c>
    </row>
    <row r="17" spans="1:10" s="167" customFormat="1" ht="28.5" customHeight="1" thickTop="1" thickBot="1">
      <c r="A17" s="582" t="s">
        <v>38</v>
      </c>
      <c r="B17" s="583"/>
      <c r="C17" s="583"/>
      <c r="D17" s="583"/>
      <c r="E17" s="583"/>
      <c r="F17" s="583"/>
      <c r="G17" s="583"/>
      <c r="H17" s="583"/>
      <c r="I17" s="584"/>
      <c r="J17" s="168"/>
    </row>
    <row r="18" spans="1:10" s="167" customFormat="1" ht="28.5" customHeight="1" thickBot="1">
      <c r="A18" s="203" t="s">
        <v>11</v>
      </c>
      <c r="B18" s="585"/>
      <c r="C18" s="585"/>
      <c r="D18" s="585"/>
      <c r="E18" s="585"/>
      <c r="F18" s="585"/>
      <c r="G18" s="585"/>
      <c r="H18" s="585"/>
      <c r="I18" s="586"/>
      <c r="J18" s="168"/>
    </row>
    <row r="19" spans="1:10" ht="21" thickTop="1"/>
  </sheetData>
  <sheetProtection formatCells="0" formatColumns="0" formatRows="0" insertColumns="0" insertRows="0" insertHyperlinks="0" deleteColumns="0" deleteRows="0" sort="0" autoFilter="0" pivotTables="0"/>
  <mergeCells count="25">
    <mergeCell ref="A1:I1"/>
    <mergeCell ref="A13:B13"/>
    <mergeCell ref="A14:I14"/>
    <mergeCell ref="A16:H16"/>
    <mergeCell ref="A17:I17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B18:I18"/>
    <mergeCell ref="K12:Q12"/>
    <mergeCell ref="K13:Q13"/>
    <mergeCell ref="K14:Q14"/>
    <mergeCell ref="K6:Q6"/>
    <mergeCell ref="K7:Q7"/>
    <mergeCell ref="K8:Q8"/>
    <mergeCell ref="K9:Q9"/>
    <mergeCell ref="K10:Q10"/>
    <mergeCell ref="K11:Q11"/>
  </mergeCells>
  <pageMargins left="0.25" right="0.25" top="0.75" bottom="0.75" header="0.3" footer="0.3"/>
  <pageSetup paperSize="9" scale="94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O24"/>
  <sheetViews>
    <sheetView showGridLines="0" rightToLeft="1" view="pageBreakPreview" zoomScale="70" zoomScaleSheetLayoutView="70" workbookViewId="0">
      <selection sqref="A1:I1"/>
    </sheetView>
  </sheetViews>
  <sheetFormatPr defaultRowHeight="20.25"/>
  <cols>
    <col min="1" max="1" width="12.5" style="167" customWidth="1"/>
    <col min="2" max="2" width="23.5" style="167" customWidth="1"/>
    <col min="3" max="3" width="18.25" style="167" customWidth="1"/>
    <col min="4" max="5" width="16.625" style="167" customWidth="1"/>
    <col min="6" max="7" width="14.75" style="167" customWidth="1"/>
    <col min="8" max="8" width="18.375" style="167" customWidth="1"/>
    <col min="9" max="9" width="14.375" style="167" customWidth="1"/>
    <col min="10" max="16384" width="9" style="167"/>
  </cols>
  <sheetData>
    <row r="1" spans="1:15" s="4" customFormat="1" ht="35.25" customHeight="1">
      <c r="A1" s="573" t="s">
        <v>89</v>
      </c>
      <c r="B1" s="573"/>
      <c r="C1" s="573"/>
      <c r="D1" s="573"/>
      <c r="E1" s="573"/>
      <c r="F1" s="573"/>
      <c r="G1" s="573"/>
      <c r="H1" s="573"/>
      <c r="I1" s="573"/>
    </row>
    <row r="2" spans="1:15" s="67" customFormat="1" ht="24.75" customHeight="1">
      <c r="A2" s="287" t="s">
        <v>0</v>
      </c>
      <c r="B2" s="239">
        <f>'صفحه اصلی'!C7</f>
        <v>0</v>
      </c>
      <c r="C2" s="705"/>
      <c r="D2" s="705"/>
      <c r="E2" s="705"/>
      <c r="F2" s="241"/>
      <c r="G2" s="241"/>
      <c r="H2" s="241"/>
      <c r="I2" s="241"/>
    </row>
    <row r="3" spans="1:15" s="67" customFormat="1" ht="25.5" customHeight="1" thickBot="1">
      <c r="A3" s="65" t="s">
        <v>1</v>
      </c>
      <c r="B3" s="64">
        <f>'صفحه اصلی'!C8</f>
        <v>0</v>
      </c>
      <c r="C3" s="332"/>
      <c r="D3" s="65" t="s">
        <v>31</v>
      </c>
      <c r="E3" s="333"/>
      <c r="F3" s="65" t="s">
        <v>54</v>
      </c>
      <c r="G3" s="64">
        <f>'صفحه اصلی'!C9</f>
        <v>0</v>
      </c>
      <c r="H3" s="64"/>
      <c r="I3" s="63"/>
    </row>
    <row r="4" spans="1:15" ht="24.75" customHeight="1" thickTop="1">
      <c r="A4" s="674" t="s">
        <v>90</v>
      </c>
      <c r="B4" s="676" t="s">
        <v>91</v>
      </c>
      <c r="C4" s="676" t="s">
        <v>16</v>
      </c>
      <c r="D4" s="676" t="s">
        <v>92</v>
      </c>
      <c r="E4" s="676" t="s">
        <v>34</v>
      </c>
      <c r="F4" s="676" t="s">
        <v>35</v>
      </c>
      <c r="G4" s="676" t="s">
        <v>2</v>
      </c>
      <c r="H4" s="676" t="s">
        <v>96</v>
      </c>
      <c r="I4" s="678" t="s">
        <v>97</v>
      </c>
    </row>
    <row r="5" spans="1:15" ht="21.75" customHeight="1" thickBot="1">
      <c r="A5" s="675"/>
      <c r="B5" s="677"/>
      <c r="C5" s="677"/>
      <c r="D5" s="677"/>
      <c r="E5" s="677"/>
      <c r="F5" s="677"/>
      <c r="G5" s="677"/>
      <c r="H5" s="677"/>
      <c r="I5" s="679"/>
    </row>
    <row r="6" spans="1:15" ht="24.75" customHeight="1">
      <c r="A6" s="338">
        <f>'2ابلاغی'!A6</f>
        <v>0</v>
      </c>
      <c r="B6" s="118"/>
      <c r="C6" s="337">
        <f>'2ابلاغی'!L6</f>
        <v>0</v>
      </c>
      <c r="D6" s="118"/>
      <c r="E6" s="118"/>
      <c r="F6" s="118"/>
      <c r="G6" s="118"/>
      <c r="H6" s="243">
        <f>SUM(E6:G6)</f>
        <v>0</v>
      </c>
      <c r="I6" s="118"/>
      <c r="J6" s="734"/>
      <c r="K6" s="734"/>
      <c r="L6" s="734"/>
      <c r="M6" s="734"/>
      <c r="N6" s="734"/>
      <c r="O6" s="734"/>
    </row>
    <row r="7" spans="1:15" ht="24.75" customHeight="1">
      <c r="A7" s="339">
        <f>'2ابلاغی'!A7</f>
        <v>0</v>
      </c>
      <c r="B7" s="118"/>
      <c r="C7" s="337">
        <f>'2ابلاغی'!L7</f>
        <v>0</v>
      </c>
      <c r="D7" s="118"/>
      <c r="E7" s="118"/>
      <c r="F7" s="118"/>
      <c r="G7" s="118"/>
      <c r="H7" s="243">
        <f t="shared" ref="H7:H17" si="0">SUM(E7:G7)</f>
        <v>0</v>
      </c>
      <c r="I7" s="118"/>
      <c r="J7" s="734"/>
      <c r="K7" s="734"/>
      <c r="L7" s="734"/>
      <c r="M7" s="734"/>
      <c r="N7" s="734"/>
      <c r="O7" s="734"/>
    </row>
    <row r="8" spans="1:15" ht="24.75" customHeight="1">
      <c r="A8" s="339">
        <f>'2ابلاغی'!A8</f>
        <v>0</v>
      </c>
      <c r="B8" s="118"/>
      <c r="C8" s="337">
        <f>'2ابلاغی'!L8</f>
        <v>0</v>
      </c>
      <c r="D8" s="118"/>
      <c r="E8" s="118"/>
      <c r="F8" s="118"/>
      <c r="G8" s="118"/>
      <c r="H8" s="243">
        <f t="shared" si="0"/>
        <v>0</v>
      </c>
      <c r="I8" s="118"/>
      <c r="J8" s="734"/>
      <c r="K8" s="734"/>
      <c r="L8" s="734"/>
      <c r="M8" s="734"/>
      <c r="N8" s="734"/>
      <c r="O8" s="734"/>
    </row>
    <row r="9" spans="1:15" ht="24.75" customHeight="1">
      <c r="A9" s="340">
        <f>'2ابلاغی'!A9</f>
        <v>0</v>
      </c>
      <c r="B9" s="118"/>
      <c r="C9" s="337">
        <f>'2ابلاغی'!L9</f>
        <v>0</v>
      </c>
      <c r="D9" s="118"/>
      <c r="E9" s="118"/>
      <c r="F9" s="118"/>
      <c r="G9" s="118"/>
      <c r="H9" s="243">
        <f t="shared" si="0"/>
        <v>0</v>
      </c>
      <c r="I9" s="118"/>
      <c r="J9" s="734"/>
      <c r="K9" s="734"/>
      <c r="L9" s="734"/>
      <c r="M9" s="734"/>
      <c r="N9" s="734"/>
      <c r="O9" s="734"/>
    </row>
    <row r="10" spans="1:15" ht="24.75" customHeight="1">
      <c r="A10" s="339">
        <f>'2ابلاغی'!A10</f>
        <v>0</v>
      </c>
      <c r="B10" s="118"/>
      <c r="C10" s="337">
        <f>'2ابلاغی'!L10</f>
        <v>0</v>
      </c>
      <c r="D10" s="118"/>
      <c r="E10" s="118"/>
      <c r="F10" s="118"/>
      <c r="G10" s="118"/>
      <c r="H10" s="243">
        <f t="shared" si="0"/>
        <v>0</v>
      </c>
      <c r="I10" s="118"/>
      <c r="J10" s="734"/>
      <c r="K10" s="734"/>
      <c r="L10" s="734"/>
      <c r="M10" s="734"/>
      <c r="N10" s="734"/>
      <c r="O10" s="734"/>
    </row>
    <row r="11" spans="1:15" ht="24.75" customHeight="1">
      <c r="A11" s="340">
        <f>'2ابلاغی'!A11</f>
        <v>0</v>
      </c>
      <c r="B11" s="118"/>
      <c r="C11" s="337">
        <f>'2ابلاغی'!L11</f>
        <v>0</v>
      </c>
      <c r="D11" s="118"/>
      <c r="E11" s="118"/>
      <c r="F11" s="118"/>
      <c r="G11" s="118"/>
      <c r="H11" s="243">
        <f t="shared" si="0"/>
        <v>0</v>
      </c>
      <c r="I11" s="118"/>
      <c r="J11" s="192"/>
      <c r="K11" s="192"/>
      <c r="L11" s="192"/>
      <c r="M11" s="192"/>
      <c r="N11" s="192"/>
      <c r="O11" s="192"/>
    </row>
    <row r="12" spans="1:15" ht="24.75" customHeight="1">
      <c r="A12" s="341">
        <f>'2ابلاغی'!A12</f>
        <v>0</v>
      </c>
      <c r="B12" s="118"/>
      <c r="C12" s="337">
        <f>'2ابلاغی'!L12</f>
        <v>0</v>
      </c>
      <c r="D12" s="118"/>
      <c r="E12" s="118"/>
      <c r="F12" s="118"/>
      <c r="G12" s="118"/>
      <c r="H12" s="243">
        <f t="shared" si="0"/>
        <v>0</v>
      </c>
      <c r="I12" s="118"/>
      <c r="J12" s="192"/>
      <c r="K12" s="192"/>
      <c r="L12" s="192"/>
      <c r="M12" s="192"/>
      <c r="N12" s="192"/>
      <c r="O12" s="192"/>
    </row>
    <row r="13" spans="1:15" ht="24.75" customHeight="1">
      <c r="A13" s="341">
        <f>'2ابلاغی'!A13</f>
        <v>0</v>
      </c>
      <c r="B13" s="118"/>
      <c r="C13" s="337">
        <f>'2ابلاغی'!L13</f>
        <v>0</v>
      </c>
      <c r="D13" s="118"/>
      <c r="E13" s="118"/>
      <c r="F13" s="118"/>
      <c r="G13" s="118"/>
      <c r="H13" s="243">
        <f t="shared" si="0"/>
        <v>0</v>
      </c>
      <c r="I13" s="118"/>
      <c r="J13" s="192"/>
      <c r="K13" s="192"/>
      <c r="L13" s="192"/>
      <c r="M13" s="192"/>
      <c r="N13" s="192"/>
      <c r="O13" s="192"/>
    </row>
    <row r="14" spans="1:15" ht="24.75" customHeight="1">
      <c r="A14" s="341">
        <f>'2ابلاغی'!A14</f>
        <v>0</v>
      </c>
      <c r="B14" s="118"/>
      <c r="C14" s="337">
        <f>'2ابلاغی'!L14</f>
        <v>0</v>
      </c>
      <c r="D14" s="118"/>
      <c r="E14" s="118"/>
      <c r="F14" s="118"/>
      <c r="G14" s="118"/>
      <c r="H14" s="243">
        <f t="shared" si="0"/>
        <v>0</v>
      </c>
      <c r="I14" s="118"/>
      <c r="J14" s="192"/>
      <c r="K14" s="192"/>
      <c r="L14" s="192"/>
      <c r="M14" s="192"/>
      <c r="N14" s="192"/>
      <c r="O14" s="192"/>
    </row>
    <row r="15" spans="1:15" ht="24.75" customHeight="1">
      <c r="A15" s="341">
        <f>'2ابلاغی'!A15</f>
        <v>0</v>
      </c>
      <c r="B15" s="118"/>
      <c r="C15" s="337">
        <f>'2ابلاغی'!L15</f>
        <v>0</v>
      </c>
      <c r="D15" s="118"/>
      <c r="E15" s="118"/>
      <c r="F15" s="118"/>
      <c r="G15" s="118"/>
      <c r="H15" s="243">
        <f t="shared" si="0"/>
        <v>0</v>
      </c>
      <c r="I15" s="118"/>
      <c r="J15" s="192"/>
      <c r="K15" s="192"/>
      <c r="L15" s="192"/>
      <c r="M15" s="192"/>
      <c r="N15" s="192"/>
      <c r="O15" s="192"/>
    </row>
    <row r="16" spans="1:15" ht="24.75" customHeight="1">
      <c r="A16" s="341">
        <f>'2ابلاغی'!A16</f>
        <v>0</v>
      </c>
      <c r="B16" s="118"/>
      <c r="C16" s="337">
        <f>'2ابلاغی'!L16</f>
        <v>0</v>
      </c>
      <c r="D16" s="118"/>
      <c r="E16" s="118"/>
      <c r="F16" s="118"/>
      <c r="G16" s="118"/>
      <c r="H16" s="243">
        <f t="shared" si="0"/>
        <v>0</v>
      </c>
      <c r="I16" s="118"/>
      <c r="J16" s="734"/>
      <c r="K16" s="734"/>
      <c r="L16" s="734"/>
      <c r="M16" s="734"/>
      <c r="N16" s="734"/>
      <c r="O16" s="734"/>
    </row>
    <row r="17" spans="1:9" ht="24.75" customHeight="1" thickBot="1">
      <c r="A17" s="342">
        <f>'2ابلاغی'!A17</f>
        <v>0</v>
      </c>
      <c r="B17" s="118"/>
      <c r="C17" s="337">
        <f>'2ابلاغی'!L17</f>
        <v>0</v>
      </c>
      <c r="D17" s="118"/>
      <c r="E17" s="118"/>
      <c r="F17" s="118"/>
      <c r="G17" s="118"/>
      <c r="H17" s="24">
        <f t="shared" si="0"/>
        <v>0</v>
      </c>
      <c r="I17" s="118"/>
    </row>
    <row r="18" spans="1:9" ht="30" customHeight="1" thickBot="1">
      <c r="A18" s="780" t="s">
        <v>93</v>
      </c>
      <c r="B18" s="781"/>
      <c r="C18" s="77">
        <f>SUM(C6:C17)</f>
        <v>0</v>
      </c>
      <c r="D18" s="77">
        <f>SUM(D6:D17)</f>
        <v>0</v>
      </c>
      <c r="E18" s="191">
        <f t="shared" ref="E18:H18" si="1">SUM(E6:E17)</f>
        <v>0</v>
      </c>
      <c r="F18" s="191">
        <f t="shared" si="1"/>
        <v>0</v>
      </c>
      <c r="G18" s="191">
        <f t="shared" si="1"/>
        <v>0</v>
      </c>
      <c r="H18" s="77">
        <f t="shared" si="1"/>
        <v>0</v>
      </c>
      <c r="I18" s="191"/>
    </row>
    <row r="19" spans="1:9" s="4" customFormat="1" ht="28.5" customHeight="1" thickBot="1">
      <c r="A19" s="782" t="s">
        <v>94</v>
      </c>
      <c r="B19" s="783"/>
      <c r="C19" s="783"/>
      <c r="D19" s="783"/>
      <c r="E19" s="783"/>
      <c r="F19" s="783"/>
      <c r="G19" s="783"/>
      <c r="H19" s="783"/>
      <c r="I19" s="784"/>
    </row>
    <row r="20" spans="1:9" s="67" customFormat="1" ht="38.25" customHeight="1" thickTop="1">
      <c r="A20" s="240" t="s">
        <v>95</v>
      </c>
      <c r="B20" s="240">
        <f>'صفحه اصلی'!C10</f>
        <v>0</v>
      </c>
      <c r="C20" s="240" t="s">
        <v>8</v>
      </c>
      <c r="D20" s="240">
        <f>'صفحه اصلی'!C11</f>
        <v>0</v>
      </c>
      <c r="E20" s="287" t="s">
        <v>9</v>
      </c>
      <c r="F20" s="240">
        <f>'صفحه اصلی'!C12</f>
        <v>0</v>
      </c>
      <c r="G20" s="785" t="s">
        <v>10</v>
      </c>
      <c r="H20" s="785"/>
      <c r="I20" s="289">
        <f>'صفحه اصلی'!C13</f>
        <v>0</v>
      </c>
    </row>
    <row r="21" spans="1:9" ht="26.25" customHeight="1" thickBot="1">
      <c r="A21" s="587" t="s">
        <v>19</v>
      </c>
      <c r="B21" s="587"/>
      <c r="C21" s="587"/>
      <c r="D21" s="587"/>
      <c r="E21" s="587"/>
      <c r="F21" s="587"/>
      <c r="G21" s="587"/>
      <c r="H21" s="587"/>
      <c r="I21" s="266" t="s">
        <v>98</v>
      </c>
    </row>
    <row r="22" spans="1:9" ht="25.5" customHeight="1" thickTop="1" thickBot="1">
      <c r="A22" s="582" t="s">
        <v>38</v>
      </c>
      <c r="B22" s="583"/>
      <c r="C22" s="583"/>
      <c r="D22" s="583"/>
      <c r="E22" s="583"/>
      <c r="F22" s="583"/>
      <c r="G22" s="583"/>
      <c r="H22" s="583"/>
      <c r="I22" s="584"/>
    </row>
    <row r="23" spans="1:9" ht="25.5" customHeight="1" thickBot="1">
      <c r="A23" s="203" t="s">
        <v>11</v>
      </c>
      <c r="B23" s="680"/>
      <c r="C23" s="680"/>
      <c r="D23" s="680"/>
      <c r="E23" s="680"/>
      <c r="F23" s="680"/>
      <c r="G23" s="680"/>
      <c r="H23" s="680"/>
      <c r="I23" s="681"/>
    </row>
    <row r="24" spans="1:9" ht="21" thickTop="1"/>
  </sheetData>
  <sheetProtection formatCells="0" formatColumns="0" formatRows="0" insertColumns="0" insertRows="0" insertHyperlinks="0" deleteColumns="0" deleteRows="0" sort="0" autoFilter="0" pivotTables="0"/>
  <mergeCells count="23">
    <mergeCell ref="J16:O16"/>
    <mergeCell ref="J6:O6"/>
    <mergeCell ref="J7:O7"/>
    <mergeCell ref="J8:O8"/>
    <mergeCell ref="J9:O9"/>
    <mergeCell ref="J10:O10"/>
    <mergeCell ref="A22:I22"/>
    <mergeCell ref="B23:I23"/>
    <mergeCell ref="A18:B18"/>
    <mergeCell ref="A19:I19"/>
    <mergeCell ref="A21:H21"/>
    <mergeCell ref="G20:H20"/>
    <mergeCell ref="G4:G5"/>
    <mergeCell ref="H4:H5"/>
    <mergeCell ref="I4:I5"/>
    <mergeCell ref="A1:I1"/>
    <mergeCell ref="C2:E2"/>
    <mergeCell ref="A4:A5"/>
    <mergeCell ref="B4:B5"/>
    <mergeCell ref="C4:C5"/>
    <mergeCell ref="D4:D5"/>
    <mergeCell ref="E4:E5"/>
    <mergeCell ref="F4:F5"/>
  </mergeCells>
  <pageMargins left="0.22" right="0.32" top="0.35" bottom="0.38" header="0.3" footer="0.3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</sheetPr>
  <dimension ref="A1:Q19"/>
  <sheetViews>
    <sheetView showGridLines="0" rightToLeft="1" view="pageBreakPreview" topLeftCell="C1" zoomScale="80" zoomScaleSheetLayoutView="80" workbookViewId="0">
      <selection sqref="A1:I1"/>
    </sheetView>
  </sheetViews>
  <sheetFormatPr defaultRowHeight="20.25"/>
  <cols>
    <col min="1" max="1" width="12" style="167" customWidth="1"/>
    <col min="2" max="2" width="19.125" style="167" customWidth="1"/>
    <col min="3" max="3" width="18.375" style="167" customWidth="1"/>
    <col min="4" max="5" width="16.625" style="167" customWidth="1"/>
    <col min="6" max="7" width="13.25" style="167" customWidth="1"/>
    <col min="8" max="8" width="16.75" style="167" customWidth="1"/>
    <col min="9" max="9" width="10.5" style="167" customWidth="1"/>
    <col min="10" max="10" width="4.75" style="167" customWidth="1"/>
    <col min="11" max="16384" width="9" style="167"/>
  </cols>
  <sheetData>
    <row r="1" spans="1:17" s="361" customFormat="1" ht="38.25" customHeight="1">
      <c r="A1" s="788" t="s">
        <v>99</v>
      </c>
      <c r="B1" s="788"/>
      <c r="C1" s="788"/>
      <c r="D1" s="788"/>
      <c r="E1" s="788"/>
      <c r="F1" s="788"/>
      <c r="G1" s="788"/>
      <c r="H1" s="788"/>
      <c r="I1" s="788"/>
      <c r="J1" s="417"/>
    </row>
    <row r="2" spans="1:17" s="67" customFormat="1" ht="30" customHeight="1">
      <c r="A2" s="241" t="s">
        <v>0</v>
      </c>
      <c r="B2" s="207">
        <f>'صفحه اصلی'!C7</f>
        <v>0</v>
      </c>
      <c r="C2" s="207"/>
      <c r="D2" s="289"/>
      <c r="E2" s="289"/>
      <c r="F2" s="241"/>
      <c r="G2" s="241"/>
      <c r="H2" s="241"/>
      <c r="I2" s="241"/>
      <c r="J2" s="241"/>
    </row>
    <row r="3" spans="1:17" s="67" customFormat="1" ht="28.5" customHeight="1" thickBot="1">
      <c r="A3" s="257" t="s">
        <v>1</v>
      </c>
      <c r="B3" s="64">
        <f>'صفحه اصلی'!C8</f>
        <v>0</v>
      </c>
      <c r="C3" s="65" t="s">
        <v>31</v>
      </c>
      <c r="D3" s="324"/>
      <c r="E3" s="65" t="s">
        <v>53</v>
      </c>
      <c r="F3" s="64">
        <f>'صفحه اصلی'!C9</f>
        <v>0</v>
      </c>
      <c r="G3" s="65" t="s">
        <v>100</v>
      </c>
      <c r="H3" s="787"/>
      <c r="I3" s="787"/>
      <c r="J3" s="66"/>
      <c r="K3" s="93"/>
      <c r="L3" s="93"/>
      <c r="M3" s="93"/>
      <c r="N3" s="93"/>
      <c r="O3" s="93"/>
      <c r="P3" s="93"/>
      <c r="Q3" s="93"/>
    </row>
    <row r="4" spans="1:17" ht="24.75" customHeight="1" thickTop="1">
      <c r="A4" s="674" t="s">
        <v>90</v>
      </c>
      <c r="B4" s="676" t="s">
        <v>91</v>
      </c>
      <c r="C4" s="676" t="s">
        <v>16</v>
      </c>
      <c r="D4" s="676" t="s">
        <v>92</v>
      </c>
      <c r="E4" s="676" t="s">
        <v>34</v>
      </c>
      <c r="F4" s="676" t="s">
        <v>35</v>
      </c>
      <c r="G4" s="676" t="s">
        <v>2</v>
      </c>
      <c r="H4" s="676" t="s">
        <v>96</v>
      </c>
      <c r="I4" s="678" t="s">
        <v>97</v>
      </c>
      <c r="J4" s="168"/>
      <c r="K4" s="91"/>
      <c r="L4" s="91"/>
      <c r="M4" s="91"/>
      <c r="N4" s="91"/>
      <c r="O4" s="91"/>
      <c r="P4" s="91"/>
      <c r="Q4" s="91"/>
    </row>
    <row r="5" spans="1:17" ht="24.75" customHeight="1" thickBot="1">
      <c r="A5" s="675"/>
      <c r="B5" s="677"/>
      <c r="C5" s="677"/>
      <c r="D5" s="677"/>
      <c r="E5" s="677"/>
      <c r="F5" s="677"/>
      <c r="G5" s="677"/>
      <c r="H5" s="677"/>
      <c r="I5" s="679"/>
      <c r="J5" s="168"/>
      <c r="K5" s="91"/>
      <c r="L5" s="91"/>
      <c r="M5" s="91"/>
      <c r="N5" s="91"/>
      <c r="O5" s="91"/>
      <c r="P5" s="91"/>
      <c r="Q5" s="91"/>
    </row>
    <row r="6" spans="1:17" ht="28.5" customHeight="1">
      <c r="A6" s="309" t="s">
        <v>24</v>
      </c>
      <c r="B6" s="325" t="s">
        <v>103</v>
      </c>
      <c r="C6" s="337">
        <f>'3 ابلاغی'!L6</f>
        <v>0</v>
      </c>
      <c r="D6" s="118"/>
      <c r="E6" s="118"/>
      <c r="F6" s="118"/>
      <c r="G6" s="118"/>
      <c r="H6" s="243">
        <f t="shared" ref="H6:H12" si="0">SUM(E6:G6)</f>
        <v>0</v>
      </c>
      <c r="I6" s="430"/>
      <c r="J6" s="168"/>
      <c r="K6" s="590" t="str">
        <f>IF(C13='13 ابلاغی'!C18," ","مغایرت جمع اعتبار اصلاحی با اعتبار اصلاحی فرم13ه (خارج از شمول)")</f>
        <v xml:space="preserve"> </v>
      </c>
      <c r="L6" s="590"/>
      <c r="M6" s="590"/>
      <c r="N6" s="590"/>
      <c r="O6" s="590"/>
      <c r="P6" s="590"/>
      <c r="Q6" s="590"/>
    </row>
    <row r="7" spans="1:17" ht="28.5" customHeight="1">
      <c r="A7" s="285" t="s">
        <v>25</v>
      </c>
      <c r="B7" s="326" t="s">
        <v>104</v>
      </c>
      <c r="C7" s="337">
        <f>'3 ابلاغی'!L7</f>
        <v>0</v>
      </c>
      <c r="D7" s="118"/>
      <c r="E7" s="118"/>
      <c r="F7" s="118"/>
      <c r="G7" s="118"/>
      <c r="H7" s="243">
        <f t="shared" si="0"/>
        <v>0</v>
      </c>
      <c r="I7" s="430"/>
      <c r="J7" s="168"/>
      <c r="K7" s="590" t="str">
        <f>IF(D13='13 ابلاغی'!D18," ","مغایرت جمع ستون اعتبارخارج ازشمول با اعتبار خارج ازشمول فرم 13ه")</f>
        <v xml:space="preserve"> </v>
      </c>
      <c r="L7" s="590"/>
      <c r="M7" s="590"/>
      <c r="N7" s="590"/>
      <c r="O7" s="590"/>
      <c r="P7" s="590"/>
      <c r="Q7" s="590"/>
    </row>
    <row r="8" spans="1:17" ht="28.5" customHeight="1">
      <c r="A8" s="309" t="s">
        <v>50</v>
      </c>
      <c r="B8" s="327" t="s">
        <v>105</v>
      </c>
      <c r="C8" s="337">
        <f>'3 ابلاغی'!L8</f>
        <v>0</v>
      </c>
      <c r="D8" s="118"/>
      <c r="E8" s="118"/>
      <c r="F8" s="118"/>
      <c r="G8" s="118"/>
      <c r="H8" s="243">
        <f t="shared" si="0"/>
        <v>0</v>
      </c>
      <c r="I8" s="430"/>
      <c r="J8" s="168"/>
      <c r="K8" s="590" t="str">
        <f>IF(E13='13 ابلاغی'!E18," ","مغایرت جمع ستون هزینه با هزینه فرم 13ه")</f>
        <v xml:space="preserve"> </v>
      </c>
      <c r="L8" s="590"/>
      <c r="M8" s="590"/>
      <c r="N8" s="590"/>
      <c r="O8" s="590"/>
      <c r="P8" s="590"/>
      <c r="Q8" s="590"/>
    </row>
    <row r="9" spans="1:17" ht="28.5" customHeight="1">
      <c r="A9" s="328" t="s">
        <v>26</v>
      </c>
      <c r="B9" s="329" t="s">
        <v>106</v>
      </c>
      <c r="C9" s="337">
        <f>'3 ابلاغی'!L9</f>
        <v>0</v>
      </c>
      <c r="D9" s="118"/>
      <c r="E9" s="118"/>
      <c r="F9" s="118"/>
      <c r="G9" s="118"/>
      <c r="H9" s="243">
        <f t="shared" si="0"/>
        <v>0</v>
      </c>
      <c r="I9" s="430"/>
      <c r="J9" s="168"/>
      <c r="K9" s="590" t="str">
        <f>IF(F13='13 ابلاغی'!F18," ","مغایرت جمع ستون پیش پرداخت با پیش پرداخت فرم 13ه")</f>
        <v xml:space="preserve"> </v>
      </c>
      <c r="L9" s="590"/>
      <c r="M9" s="590"/>
      <c r="N9" s="590"/>
      <c r="O9" s="590"/>
      <c r="P9" s="590"/>
      <c r="Q9" s="590"/>
    </row>
    <row r="10" spans="1:17" ht="28.5" customHeight="1">
      <c r="A10" s="328" t="s">
        <v>102</v>
      </c>
      <c r="B10" s="329" t="s">
        <v>107</v>
      </c>
      <c r="C10" s="337">
        <f>'3 ابلاغی'!L10</f>
        <v>0</v>
      </c>
      <c r="D10" s="118"/>
      <c r="E10" s="118"/>
      <c r="F10" s="118"/>
      <c r="G10" s="118"/>
      <c r="H10" s="243">
        <f t="shared" si="0"/>
        <v>0</v>
      </c>
      <c r="I10" s="430"/>
      <c r="J10" s="168"/>
      <c r="K10" s="590" t="str">
        <f>IF(G13='13 ابلاغی'!G18," ","مغایرت جمع ستون علی الحساب با علی الحساب فرم 13ه")</f>
        <v xml:space="preserve"> </v>
      </c>
      <c r="L10" s="590"/>
      <c r="M10" s="590"/>
      <c r="N10" s="590"/>
      <c r="O10" s="590"/>
      <c r="P10" s="590"/>
      <c r="Q10" s="590"/>
    </row>
    <row r="11" spans="1:17" ht="28.5" customHeight="1">
      <c r="A11" s="328" t="s">
        <v>28</v>
      </c>
      <c r="B11" s="329" t="s">
        <v>108</v>
      </c>
      <c r="C11" s="337">
        <f>'3 ابلاغی'!L11</f>
        <v>0</v>
      </c>
      <c r="D11" s="118"/>
      <c r="E11" s="118"/>
      <c r="F11" s="118"/>
      <c r="G11" s="118"/>
      <c r="H11" s="243">
        <f t="shared" si="0"/>
        <v>0</v>
      </c>
      <c r="I11" s="430"/>
      <c r="J11" s="168"/>
      <c r="K11" s="590" t="str">
        <f>IF(H13='13 ابلاغی'!H18," ","مغایرت جمع ستون عملکرد با جمع عملکرد فرم 13ه")</f>
        <v xml:space="preserve"> </v>
      </c>
      <c r="L11" s="590"/>
      <c r="M11" s="590"/>
      <c r="N11" s="590"/>
      <c r="O11" s="590"/>
      <c r="P11" s="590"/>
      <c r="Q11" s="590"/>
    </row>
    <row r="12" spans="1:17" ht="28.5" customHeight="1" thickBot="1">
      <c r="A12" s="286" t="s">
        <v>29</v>
      </c>
      <c r="B12" s="330" t="s">
        <v>109</v>
      </c>
      <c r="C12" s="254">
        <f>'3 ابلاغی'!L12</f>
        <v>0</v>
      </c>
      <c r="D12" s="354"/>
      <c r="E12" s="354"/>
      <c r="F12" s="354"/>
      <c r="G12" s="354"/>
      <c r="H12" s="358">
        <f t="shared" si="0"/>
        <v>0</v>
      </c>
      <c r="I12" s="350"/>
      <c r="J12" s="168"/>
      <c r="K12" s="590"/>
      <c r="L12" s="590"/>
      <c r="M12" s="590"/>
      <c r="N12" s="590"/>
      <c r="O12" s="590"/>
      <c r="P12" s="590"/>
      <c r="Q12" s="590"/>
    </row>
    <row r="13" spans="1:17" ht="28.5" customHeight="1" thickBot="1">
      <c r="A13" s="780" t="s">
        <v>93</v>
      </c>
      <c r="B13" s="781"/>
      <c r="C13" s="71">
        <f>SUM(C6:C12)</f>
        <v>0</v>
      </c>
      <c r="D13" s="24">
        <f t="shared" ref="D13:H13" si="1">SUM(D6:D12)</f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102"/>
      <c r="J13" s="168"/>
      <c r="K13" s="590"/>
      <c r="L13" s="590"/>
      <c r="M13" s="590"/>
      <c r="N13" s="590"/>
      <c r="O13" s="590"/>
      <c r="P13" s="590"/>
      <c r="Q13" s="590"/>
    </row>
    <row r="14" spans="1:17" s="4" customFormat="1" ht="28.5" customHeight="1" thickBot="1">
      <c r="A14" s="782" t="s">
        <v>94</v>
      </c>
      <c r="B14" s="783"/>
      <c r="C14" s="783"/>
      <c r="D14" s="783"/>
      <c r="E14" s="783"/>
      <c r="F14" s="783"/>
      <c r="G14" s="783"/>
      <c r="H14" s="783"/>
      <c r="I14" s="784"/>
      <c r="J14" s="331"/>
      <c r="K14" s="590"/>
      <c r="L14" s="590"/>
      <c r="M14" s="590"/>
      <c r="N14" s="590"/>
      <c r="O14" s="590"/>
      <c r="P14" s="590"/>
      <c r="Q14" s="590"/>
    </row>
    <row r="15" spans="1:17" s="67" customFormat="1" ht="38.25" customHeight="1" thickTop="1">
      <c r="A15" s="240" t="s">
        <v>95</v>
      </c>
      <c r="B15" s="240">
        <f>'صفحه اصلی'!C10</f>
        <v>0</v>
      </c>
      <c r="C15" s="240" t="s">
        <v>8</v>
      </c>
      <c r="D15" s="240">
        <f>'صفحه اصلی'!C11</f>
        <v>0</v>
      </c>
      <c r="E15" s="287" t="s">
        <v>9</v>
      </c>
      <c r="F15" s="240">
        <f>'صفحه اصلی'!C12</f>
        <v>0</v>
      </c>
      <c r="H15" s="288" t="s">
        <v>10</v>
      </c>
      <c r="I15" s="289">
        <f>'صفحه اصلی'!C13</f>
        <v>0</v>
      </c>
      <c r="K15" s="93"/>
      <c r="L15" s="93"/>
      <c r="M15" s="93"/>
      <c r="N15" s="93"/>
      <c r="O15" s="93"/>
      <c r="P15" s="93"/>
      <c r="Q15" s="93"/>
    </row>
    <row r="16" spans="1:17" ht="26.25" customHeight="1" thickBot="1">
      <c r="A16" s="587" t="s">
        <v>19</v>
      </c>
      <c r="B16" s="587"/>
      <c r="C16" s="587"/>
      <c r="D16" s="587"/>
      <c r="E16" s="587"/>
      <c r="F16" s="587"/>
      <c r="G16" s="587"/>
      <c r="H16" s="587"/>
      <c r="I16" s="266" t="s">
        <v>101</v>
      </c>
    </row>
    <row r="17" spans="1:10" ht="28.5" customHeight="1" thickTop="1" thickBot="1">
      <c r="A17" s="582" t="s">
        <v>38</v>
      </c>
      <c r="B17" s="583"/>
      <c r="C17" s="583"/>
      <c r="D17" s="583"/>
      <c r="E17" s="583"/>
      <c r="F17" s="583"/>
      <c r="G17" s="583"/>
      <c r="H17" s="583"/>
      <c r="I17" s="584"/>
      <c r="J17" s="168"/>
    </row>
    <row r="18" spans="1:10" ht="28.5" customHeight="1" thickBot="1">
      <c r="A18" s="203" t="s">
        <v>11</v>
      </c>
      <c r="B18" s="585"/>
      <c r="C18" s="585"/>
      <c r="D18" s="585"/>
      <c r="E18" s="585"/>
      <c r="F18" s="585"/>
      <c r="G18" s="585"/>
      <c r="H18" s="585"/>
      <c r="I18" s="586"/>
      <c r="J18" s="168"/>
    </row>
    <row r="19" spans="1:10" ht="21" thickTop="1"/>
  </sheetData>
  <sheetProtection formatCells="0" formatColumns="0" formatRows="0" insertColumns="0" insertRows="0" insertHyperlinks="0" deleteColumns="0" deleteRows="0" sort="0" autoFilter="0" pivotTables="0"/>
  <mergeCells count="25">
    <mergeCell ref="K11:Q11"/>
    <mergeCell ref="K12:Q12"/>
    <mergeCell ref="K13:Q13"/>
    <mergeCell ref="K14:Q14"/>
    <mergeCell ref="K6:Q6"/>
    <mergeCell ref="K7:Q7"/>
    <mergeCell ref="K8:Q8"/>
    <mergeCell ref="K9:Q9"/>
    <mergeCell ref="K10:Q10"/>
    <mergeCell ref="B18:I18"/>
    <mergeCell ref="A1:I1"/>
    <mergeCell ref="A13:B13"/>
    <mergeCell ref="A14:I14"/>
    <mergeCell ref="A16:H16"/>
    <mergeCell ref="A17:I17"/>
    <mergeCell ref="F4:F5"/>
    <mergeCell ref="H3:I3"/>
    <mergeCell ref="G4:G5"/>
    <mergeCell ref="H4:H5"/>
    <mergeCell ref="I4:I5"/>
    <mergeCell ref="A4:A5"/>
    <mergeCell ref="B4:B5"/>
    <mergeCell ref="C4:C5"/>
    <mergeCell ref="D4:D5"/>
    <mergeCell ref="E4:E5"/>
  </mergeCells>
  <pageMargins left="0.25" right="0.27" top="0.75" bottom="0.75" header="0.3" footer="0.3"/>
  <pageSetup paperSize="9" scale="92" orientation="landscape" r:id="rId1"/>
  <colBreaks count="1" manualBreakCount="1">
    <brk id="9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P11"/>
  <sheetViews>
    <sheetView showGridLines="0" rightToLeft="1" view="pageBreakPreview" zoomScale="90" zoomScaleSheetLayoutView="90" workbookViewId="0">
      <selection activeCell="B6" sqref="B6:H6"/>
    </sheetView>
  </sheetViews>
  <sheetFormatPr defaultRowHeight="20.25"/>
  <cols>
    <col min="1" max="1" width="12.625" style="167" customWidth="1"/>
    <col min="2" max="2" width="10.625" style="167" customWidth="1"/>
    <col min="3" max="4" width="21.625" style="167" customWidth="1"/>
    <col min="5" max="5" width="8.625" style="167" customWidth="1"/>
    <col min="6" max="6" width="12.625" style="167" customWidth="1"/>
    <col min="7" max="8" width="21.625" style="167" customWidth="1"/>
    <col min="9" max="16384" width="9" style="335"/>
  </cols>
  <sheetData>
    <row r="1" spans="1:16" s="4" customFormat="1" ht="45" customHeight="1">
      <c r="A1" s="716" t="s">
        <v>110</v>
      </c>
      <c r="B1" s="716"/>
      <c r="C1" s="716"/>
      <c r="D1" s="716"/>
      <c r="E1" s="716"/>
      <c r="F1" s="716"/>
      <c r="G1" s="716"/>
      <c r="H1" s="716"/>
      <c r="I1" s="256"/>
      <c r="J1" s="256"/>
      <c r="K1" s="256"/>
      <c r="L1" s="60"/>
    </row>
    <row r="2" spans="1:16" s="67" customFormat="1" ht="30.75" customHeight="1">
      <c r="A2" s="241" t="s">
        <v>113</v>
      </c>
      <c r="B2" s="207">
        <f>'صفحه اصلی'!C7</f>
        <v>0</v>
      </c>
      <c r="C2" s="207"/>
      <c r="D2" s="241"/>
      <c r="E2" s="241"/>
      <c r="F2" s="241"/>
      <c r="G2" s="241"/>
      <c r="H2" s="241"/>
      <c r="I2" s="241"/>
    </row>
    <row r="3" spans="1:16" s="67" customFormat="1" ht="30.75" customHeight="1" thickBot="1">
      <c r="A3" s="257" t="s">
        <v>1</v>
      </c>
      <c r="B3" s="64">
        <f>'صفحه اصلی'!C8</f>
        <v>0</v>
      </c>
      <c r="C3" s="65" t="s">
        <v>31</v>
      </c>
      <c r="D3" s="64"/>
      <c r="F3" s="65" t="s">
        <v>54</v>
      </c>
      <c r="G3" s="64">
        <f>'صفحه اصلی'!C9</f>
        <v>0</v>
      </c>
      <c r="H3" s="64"/>
      <c r="I3" s="66"/>
    </row>
    <row r="4" spans="1:16" s="317" customFormat="1" ht="51" customHeight="1" thickTop="1" thickBot="1">
      <c r="A4" s="789" t="s">
        <v>111</v>
      </c>
      <c r="B4" s="790"/>
      <c r="C4" s="313" t="s">
        <v>112</v>
      </c>
      <c r="D4" s="313" t="s">
        <v>114</v>
      </c>
      <c r="E4" s="791" t="s">
        <v>115</v>
      </c>
      <c r="F4" s="790"/>
      <c r="G4" s="314" t="s">
        <v>116</v>
      </c>
      <c r="H4" s="315" t="s">
        <v>117</v>
      </c>
      <c r="I4" s="316"/>
    </row>
    <row r="5" spans="1:16" s="317" customFormat="1" ht="33.75" customHeight="1" thickBot="1">
      <c r="A5" s="792">
        <f>'2'!C20+'2'!D20</f>
        <v>0</v>
      </c>
      <c r="B5" s="793"/>
      <c r="C5" s="191">
        <f>'رو کش تراز '!C13:F13</f>
        <v>0</v>
      </c>
      <c r="D5" s="195">
        <f>'2'!L20-A5</f>
        <v>0</v>
      </c>
      <c r="E5" s="794">
        <f>'رو کش تراز '!K23</f>
        <v>0</v>
      </c>
      <c r="F5" s="795"/>
      <c r="G5" s="191">
        <f>A5+D5</f>
        <v>0</v>
      </c>
      <c r="H5" s="101">
        <f>C5+E5</f>
        <v>0</v>
      </c>
      <c r="I5" s="221"/>
      <c r="J5" s="734"/>
      <c r="K5" s="734"/>
      <c r="L5" s="734"/>
      <c r="M5" s="734"/>
      <c r="N5" s="734"/>
      <c r="O5" s="734"/>
      <c r="P5" s="734"/>
    </row>
    <row r="6" spans="1:16" s="317" customFormat="1" ht="33.75" customHeight="1" thickBot="1">
      <c r="A6" s="203" t="s">
        <v>11</v>
      </c>
      <c r="B6" s="759"/>
      <c r="C6" s="759"/>
      <c r="D6" s="759"/>
      <c r="E6" s="759"/>
      <c r="F6" s="759"/>
      <c r="G6" s="759"/>
      <c r="H6" s="760"/>
      <c r="I6" s="234"/>
      <c r="J6" s="734"/>
      <c r="K6" s="734"/>
      <c r="L6" s="734"/>
      <c r="M6" s="734"/>
      <c r="N6" s="734"/>
      <c r="O6" s="734"/>
      <c r="P6" s="734"/>
    </row>
    <row r="7" spans="1:16" s="200" customFormat="1" ht="66" customHeight="1" thickTop="1">
      <c r="A7" s="198" t="s">
        <v>21</v>
      </c>
      <c r="B7" s="196">
        <f>'صفحه اصلی'!C10</f>
        <v>0</v>
      </c>
      <c r="C7" s="297" t="s">
        <v>8</v>
      </c>
      <c r="D7" s="455">
        <f>'صفحه اصلی'!C11</f>
        <v>0</v>
      </c>
      <c r="E7" s="198" t="s">
        <v>9</v>
      </c>
      <c r="F7" s="455">
        <f>'صفحه اصلی'!C12</f>
        <v>0</v>
      </c>
      <c r="G7" s="199" t="s">
        <v>10</v>
      </c>
      <c r="H7" s="281">
        <f>'صفحه اصلی'!C13</f>
        <v>0</v>
      </c>
    </row>
    <row r="8" spans="1:16" s="4" customFormat="1" ht="34.5" customHeight="1" thickBot="1">
      <c r="A8" s="772" t="s">
        <v>19</v>
      </c>
      <c r="B8" s="772"/>
      <c r="C8" s="772"/>
      <c r="D8" s="772"/>
      <c r="E8" s="772"/>
      <c r="F8" s="772"/>
      <c r="G8" s="772"/>
      <c r="H8" s="266" t="s">
        <v>118</v>
      </c>
    </row>
    <row r="9" spans="1:16" s="167" customFormat="1" ht="27" customHeight="1" thickTop="1" thickBot="1">
      <c r="A9" s="582" t="s">
        <v>394</v>
      </c>
      <c r="B9" s="583"/>
      <c r="C9" s="583"/>
      <c r="D9" s="583"/>
      <c r="E9" s="583"/>
      <c r="F9" s="583"/>
      <c r="G9" s="583"/>
      <c r="H9" s="584"/>
      <c r="I9" s="202"/>
    </row>
    <row r="10" spans="1:16" s="167" customFormat="1" ht="27" customHeight="1" thickBot="1">
      <c r="A10" s="203" t="s">
        <v>11</v>
      </c>
      <c r="B10" s="759"/>
      <c r="C10" s="759"/>
      <c r="D10" s="759"/>
      <c r="E10" s="759"/>
      <c r="F10" s="759"/>
      <c r="G10" s="759"/>
      <c r="H10" s="760"/>
      <c r="I10" s="202"/>
      <c r="J10" s="267"/>
    </row>
    <row r="11" spans="1:16" ht="21" thickTop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4:B4"/>
    <mergeCell ref="E4:F4"/>
    <mergeCell ref="A5:B5"/>
    <mergeCell ref="E5:F5"/>
    <mergeCell ref="A8:G8"/>
    <mergeCell ref="A9:H9"/>
    <mergeCell ref="B10:H10"/>
    <mergeCell ref="J5:P5"/>
    <mergeCell ref="J6:P6"/>
    <mergeCell ref="B6:H6"/>
  </mergeCells>
  <pageMargins left="0.25" right="0.25" top="0.75" bottom="0.75" header="0.3" footer="0.3"/>
  <pageSetup paperSize="9" scale="98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7030A0"/>
  </sheetPr>
  <dimension ref="A1:P11"/>
  <sheetViews>
    <sheetView showGridLines="0" rightToLeft="1" view="pageBreakPreview" zoomScale="90" zoomScaleSheetLayoutView="90" workbookViewId="0">
      <selection activeCell="A6" sqref="A6"/>
    </sheetView>
  </sheetViews>
  <sheetFormatPr defaultRowHeight="14.25"/>
  <cols>
    <col min="1" max="1" width="12.625" style="3" customWidth="1"/>
    <col min="2" max="2" width="10.625" style="3" customWidth="1"/>
    <col min="3" max="4" width="21.625" style="3" customWidth="1"/>
    <col min="5" max="5" width="8.625" style="3" customWidth="1"/>
    <col min="6" max="6" width="12.625" style="3" customWidth="1"/>
    <col min="7" max="8" width="21.625" style="3" customWidth="1"/>
    <col min="9" max="9" width="4.375" style="3" customWidth="1"/>
    <col min="10" max="16384" width="9" style="3"/>
  </cols>
  <sheetData>
    <row r="1" spans="1:16" s="361" customFormat="1" ht="45" customHeight="1">
      <c r="A1" s="716" t="s">
        <v>110</v>
      </c>
      <c r="B1" s="716"/>
      <c r="C1" s="716"/>
      <c r="D1" s="716"/>
      <c r="E1" s="716"/>
      <c r="F1" s="716"/>
      <c r="G1" s="716"/>
      <c r="H1" s="716"/>
      <c r="I1" s="68"/>
      <c r="J1" s="68"/>
      <c r="K1" s="68"/>
      <c r="L1" s="417"/>
    </row>
    <row r="2" spans="1:16" s="67" customFormat="1" ht="30.75" customHeight="1">
      <c r="A2" s="241" t="s">
        <v>113</v>
      </c>
      <c r="B2" s="207">
        <f>'صفحه اصلی'!C7</f>
        <v>0</v>
      </c>
      <c r="C2" s="207"/>
      <c r="D2" s="241"/>
      <c r="E2" s="241"/>
      <c r="F2" s="241"/>
      <c r="G2" s="241"/>
      <c r="H2" s="241"/>
      <c r="I2" s="241"/>
    </row>
    <row r="3" spans="1:16" s="67" customFormat="1" ht="30.75" customHeight="1" thickBot="1">
      <c r="A3" s="257" t="s">
        <v>1</v>
      </c>
      <c r="B3" s="177">
        <f>'صفحه اصلی'!C8</f>
        <v>0</v>
      </c>
      <c r="C3" s="356" t="s">
        <v>31</v>
      </c>
      <c r="D3" s="359"/>
      <c r="F3" s="356" t="s">
        <v>54</v>
      </c>
      <c r="G3" s="177">
        <f>'صفحه اصلی'!C9</f>
        <v>0</v>
      </c>
      <c r="H3" s="359"/>
      <c r="I3" s="66"/>
    </row>
    <row r="4" spans="1:16" s="50" customFormat="1" ht="51" customHeight="1" thickTop="1" thickBot="1">
      <c r="A4" s="801" t="s">
        <v>111</v>
      </c>
      <c r="B4" s="797"/>
      <c r="C4" s="80" t="s">
        <v>112</v>
      </c>
      <c r="D4" s="80" t="s">
        <v>114</v>
      </c>
      <c r="E4" s="796" t="s">
        <v>115</v>
      </c>
      <c r="F4" s="797"/>
      <c r="G4" s="84" t="s">
        <v>116</v>
      </c>
      <c r="H4" s="85" t="s">
        <v>117</v>
      </c>
      <c r="I4" s="100"/>
    </row>
    <row r="5" spans="1:16" s="81" customFormat="1" ht="33.75" customHeight="1" thickBot="1">
      <c r="A5" s="792">
        <f>'2ابلاغی'!C18</f>
        <v>0</v>
      </c>
      <c r="B5" s="793"/>
      <c r="C5" s="76">
        <f>'رو کش تراز '!C58:F58</f>
        <v>0</v>
      </c>
      <c r="D5" s="448">
        <f>'2ابلاغی'!L18-'2ابلاغی'!C18-'2ابلاغی'!D18</f>
        <v>0</v>
      </c>
      <c r="E5" s="794">
        <f>'رو کش تراز '!K67</f>
        <v>0</v>
      </c>
      <c r="F5" s="795"/>
      <c r="G5" s="76">
        <f>A5+D5</f>
        <v>0</v>
      </c>
      <c r="H5" s="101">
        <f>C5+E5</f>
        <v>0</v>
      </c>
      <c r="I5" s="61"/>
      <c r="J5" s="734"/>
      <c r="K5" s="734"/>
      <c r="L5" s="734"/>
      <c r="M5" s="734"/>
      <c r="N5" s="734"/>
      <c r="O5" s="734"/>
      <c r="P5" s="734"/>
    </row>
    <row r="6" spans="1:16" s="81" customFormat="1" ht="33.75" customHeight="1" thickBot="1">
      <c r="A6" s="20" t="s">
        <v>11</v>
      </c>
      <c r="B6" s="798"/>
      <c r="C6" s="798"/>
      <c r="D6" s="798"/>
      <c r="E6" s="798"/>
      <c r="F6" s="798"/>
      <c r="G6" s="798"/>
      <c r="H6" s="799"/>
      <c r="I6" s="82"/>
      <c r="J6" s="734"/>
      <c r="K6" s="734"/>
      <c r="L6" s="734"/>
      <c r="M6" s="734"/>
      <c r="N6" s="734"/>
      <c r="O6" s="734"/>
      <c r="P6" s="734"/>
    </row>
    <row r="7" spans="1:16" s="200" customFormat="1" ht="66" customHeight="1" thickTop="1">
      <c r="A7" s="348" t="s">
        <v>21</v>
      </c>
      <c r="B7" s="349">
        <f>'صفحه اصلی'!C10</f>
        <v>0</v>
      </c>
      <c r="C7" s="297" t="s">
        <v>8</v>
      </c>
      <c r="D7" s="455">
        <f>'صفحه اصلی'!C11</f>
        <v>0</v>
      </c>
      <c r="E7" s="348" t="s">
        <v>9</v>
      </c>
      <c r="F7" s="455">
        <f>'صفحه اصلی'!C12</f>
        <v>0</v>
      </c>
      <c r="G7" s="360" t="s">
        <v>10</v>
      </c>
      <c r="H7" s="281">
        <f>'صفحه اصلی'!C13</f>
        <v>0</v>
      </c>
      <c r="I7" s="456"/>
    </row>
    <row r="8" spans="1:16" s="18" customFormat="1" ht="34.5" customHeight="1" thickBot="1">
      <c r="A8" s="800" t="s">
        <v>19</v>
      </c>
      <c r="B8" s="800"/>
      <c r="C8" s="800"/>
      <c r="D8" s="800"/>
      <c r="E8" s="800"/>
      <c r="F8" s="800"/>
      <c r="G8" s="800"/>
      <c r="H8" s="25" t="s">
        <v>118</v>
      </c>
    </row>
    <row r="9" spans="1:16" s="19" customFormat="1" ht="27" customHeight="1" thickTop="1" thickBot="1">
      <c r="A9" s="653" t="s">
        <v>394</v>
      </c>
      <c r="B9" s="654"/>
      <c r="C9" s="654"/>
      <c r="D9" s="654"/>
      <c r="E9" s="654"/>
      <c r="F9" s="654"/>
      <c r="G9" s="654"/>
      <c r="H9" s="655"/>
      <c r="I9" s="62"/>
    </row>
    <row r="10" spans="1:16" s="19" customFormat="1" ht="27" customHeight="1" thickBot="1">
      <c r="A10" s="20" t="s">
        <v>11</v>
      </c>
      <c r="B10" s="798"/>
      <c r="C10" s="798"/>
      <c r="D10" s="798"/>
      <c r="E10" s="798"/>
      <c r="F10" s="798"/>
      <c r="G10" s="798"/>
      <c r="H10" s="799"/>
      <c r="I10" s="62"/>
      <c r="J10" s="83"/>
    </row>
    <row r="11" spans="1:16" ht="15" thickTop="1"/>
  </sheetData>
  <sheetProtection formatCells="0" formatColumns="0" formatRows="0" insertColumns="0" insertRows="0" insertHyperlinks="0" deleteColumns="0" deleteRows="0" sort="0" autoFilter="0" pivotTables="0"/>
  <mergeCells count="11">
    <mergeCell ref="J5:P5"/>
    <mergeCell ref="J6:P6"/>
    <mergeCell ref="B10:H10"/>
    <mergeCell ref="A4:B4"/>
    <mergeCell ref="A5:B5"/>
    <mergeCell ref="A9:H9"/>
    <mergeCell ref="A1:H1"/>
    <mergeCell ref="E4:F4"/>
    <mergeCell ref="E5:F5"/>
    <mergeCell ref="B6:H6"/>
    <mergeCell ref="A8:G8"/>
  </mergeCells>
  <pageMargins left="0.25" right="0.25" top="0.75" bottom="0.75" header="0.3" footer="0.3"/>
  <pageSetup paperSize="9" scale="9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3:J13"/>
  <sheetViews>
    <sheetView showGridLines="0" rightToLeft="1" workbookViewId="0"/>
  </sheetViews>
  <sheetFormatPr defaultColWidth="9" defaultRowHeight="14.25"/>
  <cols>
    <col min="1" max="16384" width="9" style="452"/>
  </cols>
  <sheetData>
    <row r="3" spans="2:10">
      <c r="E3" s="802"/>
      <c r="F3" s="802"/>
      <c r="G3" s="802"/>
    </row>
    <row r="4" spans="2:10">
      <c r="E4" s="802"/>
      <c r="F4" s="802"/>
      <c r="G4" s="802"/>
    </row>
    <row r="6" spans="2:10">
      <c r="B6" s="803"/>
      <c r="C6" s="803"/>
      <c r="D6" s="803"/>
      <c r="E6" s="803"/>
      <c r="F6" s="803"/>
      <c r="G6" s="803"/>
      <c r="H6" s="803"/>
      <c r="I6" s="803"/>
      <c r="J6" s="803"/>
    </row>
    <row r="7" spans="2:10">
      <c r="B7" s="803"/>
      <c r="C7" s="803"/>
      <c r="D7" s="803"/>
      <c r="E7" s="803"/>
      <c r="F7" s="803"/>
      <c r="G7" s="803"/>
      <c r="H7" s="803"/>
      <c r="I7" s="803"/>
      <c r="J7" s="803"/>
    </row>
    <row r="8" spans="2:10">
      <c r="B8" s="803"/>
      <c r="C8" s="803"/>
      <c r="D8" s="803"/>
      <c r="E8" s="803"/>
      <c r="F8" s="803"/>
      <c r="G8" s="803"/>
      <c r="H8" s="803"/>
      <c r="I8" s="803"/>
      <c r="J8" s="803"/>
    </row>
    <row r="9" spans="2:10">
      <c r="B9" s="803"/>
      <c r="C9" s="803"/>
      <c r="D9" s="803"/>
      <c r="E9" s="803"/>
      <c r="F9" s="803"/>
      <c r="G9" s="803"/>
      <c r="H9" s="803"/>
      <c r="I9" s="803"/>
      <c r="J9" s="803"/>
    </row>
    <row r="10" spans="2:10">
      <c r="B10" s="803"/>
      <c r="C10" s="803"/>
      <c r="D10" s="803"/>
      <c r="E10" s="803"/>
      <c r="F10" s="803"/>
      <c r="G10" s="803"/>
      <c r="H10" s="803"/>
      <c r="I10" s="803"/>
      <c r="J10" s="803"/>
    </row>
    <row r="11" spans="2:10">
      <c r="B11" s="803"/>
      <c r="C11" s="803"/>
      <c r="D11" s="803"/>
      <c r="E11" s="803"/>
      <c r="F11" s="803"/>
      <c r="G11" s="803"/>
      <c r="H11" s="803"/>
      <c r="I11" s="803"/>
      <c r="J11" s="803"/>
    </row>
    <row r="12" spans="2:10">
      <c r="B12" s="803"/>
      <c r="C12" s="803"/>
      <c r="D12" s="803"/>
      <c r="E12" s="803"/>
      <c r="F12" s="803"/>
      <c r="G12" s="803"/>
      <c r="H12" s="803"/>
      <c r="I12" s="803"/>
      <c r="J12" s="803"/>
    </row>
    <row r="13" spans="2:10">
      <c r="B13" s="803"/>
      <c r="C13" s="803"/>
      <c r="D13" s="803"/>
      <c r="E13" s="803"/>
      <c r="F13" s="803"/>
      <c r="G13" s="803"/>
      <c r="H13" s="803"/>
      <c r="I13" s="803"/>
      <c r="J13" s="803"/>
    </row>
  </sheetData>
  <sheetProtection password="B595" sheet="1" objects="1" scenarios="1"/>
  <mergeCells count="2">
    <mergeCell ref="E3:G4"/>
    <mergeCell ref="B6:J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AC23"/>
  <sheetViews>
    <sheetView showGridLines="0" rightToLeft="1" view="pageBreakPreview" zoomScale="70" zoomScaleSheetLayoutView="70" workbookViewId="0">
      <selection sqref="A1:M1"/>
    </sheetView>
  </sheetViews>
  <sheetFormatPr defaultRowHeight="14.25"/>
  <cols>
    <col min="1" max="1" width="6.875" style="3" customWidth="1"/>
    <col min="2" max="2" width="7.875" style="3" customWidth="1"/>
    <col min="3" max="5" width="14.25" style="3" customWidth="1"/>
    <col min="6" max="6" width="12.875" style="3" customWidth="1"/>
    <col min="7" max="7" width="11.625" style="3" customWidth="1"/>
    <col min="8" max="9" width="10.625" style="3" customWidth="1"/>
    <col min="10" max="10" width="8.875" style="3" customWidth="1"/>
    <col min="11" max="11" width="8.25" style="3" customWidth="1"/>
    <col min="12" max="12" width="11" style="3" customWidth="1"/>
    <col min="13" max="13" width="9.75" style="3" customWidth="1"/>
    <col min="14" max="14" width="3.375" style="3" customWidth="1"/>
    <col min="15" max="16384" width="9" style="3"/>
  </cols>
  <sheetData>
    <row r="1" spans="1:24" s="361" customFormat="1" ht="33" customHeight="1">
      <c r="A1" s="573" t="s">
        <v>585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24" s="363" customFormat="1" ht="26.25" customHeight="1">
      <c r="A2" s="591" t="s">
        <v>0</v>
      </c>
      <c r="B2" s="591"/>
      <c r="C2" s="362">
        <f>'صفحه اصلی'!C7</f>
        <v>0</v>
      </c>
      <c r="D2" s="362"/>
      <c r="E2" s="362"/>
      <c r="F2" s="362"/>
      <c r="G2" s="362"/>
      <c r="H2" s="362"/>
      <c r="I2" s="362"/>
      <c r="J2" s="362"/>
      <c r="K2" s="362"/>
      <c r="L2" s="362"/>
    </row>
    <row r="3" spans="1:24" s="363" customFormat="1" ht="26.25" customHeight="1" thickBot="1">
      <c r="A3" s="592" t="s">
        <v>1</v>
      </c>
      <c r="B3" s="592"/>
      <c r="C3" s="365">
        <f>'صفحه اصلی'!C8</f>
        <v>0</v>
      </c>
      <c r="D3" s="365"/>
      <c r="E3" s="365"/>
      <c r="F3" s="366" t="s">
        <v>48</v>
      </c>
      <c r="G3" s="367">
        <f>'صفحه اصلی'!C9</f>
        <v>0</v>
      </c>
      <c r="H3" s="367"/>
      <c r="I3" s="301"/>
      <c r="J3" s="301"/>
      <c r="K3" s="301"/>
      <c r="L3" s="301"/>
      <c r="M3" s="368"/>
    </row>
    <row r="4" spans="1:24" s="369" customFormat="1" ht="27" customHeight="1" thickTop="1">
      <c r="A4" s="596" t="s">
        <v>23</v>
      </c>
      <c r="B4" s="597"/>
      <c r="C4" s="574" t="s">
        <v>16</v>
      </c>
      <c r="D4" s="574" t="s">
        <v>32</v>
      </c>
      <c r="E4" s="574" t="s">
        <v>33</v>
      </c>
      <c r="F4" s="574" t="s">
        <v>34</v>
      </c>
      <c r="G4" s="574" t="s">
        <v>35</v>
      </c>
      <c r="H4" s="574" t="s">
        <v>384</v>
      </c>
      <c r="I4" s="574" t="s">
        <v>2</v>
      </c>
      <c r="J4" s="574" t="s">
        <v>68</v>
      </c>
      <c r="K4" s="574" t="s">
        <v>69</v>
      </c>
      <c r="L4" s="574" t="s">
        <v>61</v>
      </c>
      <c r="M4" s="594" t="s">
        <v>3</v>
      </c>
    </row>
    <row r="5" spans="1:24" s="369" customFormat="1" ht="27" customHeight="1" thickBot="1">
      <c r="A5" s="598"/>
      <c r="B5" s="599"/>
      <c r="C5" s="593"/>
      <c r="D5" s="593"/>
      <c r="E5" s="593"/>
      <c r="F5" s="593"/>
      <c r="G5" s="593"/>
      <c r="H5" s="593"/>
      <c r="I5" s="593"/>
      <c r="J5" s="593"/>
      <c r="K5" s="593"/>
      <c r="L5" s="575"/>
      <c r="M5" s="595"/>
      <c r="N5" s="370"/>
    </row>
    <row r="6" spans="1:24" s="42" customFormat="1" ht="32.25" customHeight="1">
      <c r="A6" s="600" t="s">
        <v>4</v>
      </c>
      <c r="B6" s="601"/>
      <c r="C6" s="122">
        <f>'  5 استانی'!B13</f>
        <v>0</v>
      </c>
      <c r="D6" s="122">
        <f>'  5 استانی'!C13</f>
        <v>0</v>
      </c>
      <c r="E6" s="122">
        <f>'  5 استانی'!D13</f>
        <v>0</v>
      </c>
      <c r="F6" s="122">
        <f>'  5 استانی'!E13</f>
        <v>0</v>
      </c>
      <c r="G6" s="122">
        <f>'  5 استانی'!F13</f>
        <v>0</v>
      </c>
      <c r="H6" s="122">
        <f>'  5 استانی'!G13</f>
        <v>0</v>
      </c>
      <c r="I6" s="122">
        <f>'  5 استانی'!H13</f>
        <v>0</v>
      </c>
      <c r="J6" s="122">
        <f>'  5 استانی'!I13</f>
        <v>0</v>
      </c>
      <c r="K6" s="122">
        <f>'  5 استانی'!J13</f>
        <v>0</v>
      </c>
      <c r="L6" s="122">
        <f>'4استانی '!K20</f>
        <v>0</v>
      </c>
      <c r="M6" s="123">
        <f>'  5 استانی'!L13</f>
        <v>0</v>
      </c>
      <c r="N6" s="98"/>
      <c r="O6" s="590"/>
      <c r="P6" s="590"/>
      <c r="Q6" s="590"/>
      <c r="R6" s="590"/>
      <c r="S6" s="590"/>
      <c r="T6" s="590"/>
      <c r="U6" s="90"/>
      <c r="V6" s="90"/>
      <c r="W6" s="90"/>
      <c r="X6" s="90"/>
    </row>
    <row r="7" spans="1:24" ht="24" customHeight="1">
      <c r="A7" s="449" t="s">
        <v>5</v>
      </c>
      <c r="B7" s="124">
        <f>'4ابلاغی'!E3</f>
        <v>0</v>
      </c>
      <c r="C7" s="124">
        <f>'4ابلاغی'!B18</f>
        <v>0</v>
      </c>
      <c r="D7" s="124">
        <f>'4ابلاغی'!C18</f>
        <v>0</v>
      </c>
      <c r="E7" s="124">
        <f>'4ابلاغی'!D18</f>
        <v>0</v>
      </c>
      <c r="F7" s="124">
        <f>'4ابلاغی'!E18</f>
        <v>0</v>
      </c>
      <c r="G7" s="124">
        <f>'4ابلاغی'!F18</f>
        <v>0</v>
      </c>
      <c r="H7" s="124">
        <f>'4ابلاغی'!G18</f>
        <v>0</v>
      </c>
      <c r="I7" s="124">
        <f>'4ابلاغی'!H18</f>
        <v>0</v>
      </c>
      <c r="J7" s="124">
        <f>'4ابلاغی'!I18</f>
        <v>0</v>
      </c>
      <c r="K7" s="124">
        <f>'4ابلاغی'!J18</f>
        <v>0</v>
      </c>
      <c r="L7" s="124">
        <f>'4ابلاغی'!K18</f>
        <v>0</v>
      </c>
      <c r="M7" s="125">
        <f>'4ابلاغی'!L18</f>
        <v>0</v>
      </c>
      <c r="N7" s="23"/>
      <c r="O7" s="602" t="str">
        <f>IF(C17='رو کش تراز '!O56," ","مغایرت جمع ستون اعتبار اصلاحی ابلاغی با دستگاه اجرایی ابلاغی در روکش تراز")</f>
        <v xml:space="preserve"> </v>
      </c>
      <c r="P7" s="602"/>
      <c r="Q7" s="602"/>
      <c r="R7" s="602"/>
      <c r="S7" s="602"/>
      <c r="T7" s="602"/>
      <c r="U7" s="602"/>
      <c r="V7" s="602"/>
      <c r="W7" s="91"/>
      <c r="X7" s="91"/>
    </row>
    <row r="8" spans="1:24" ht="24" customHeight="1">
      <c r="A8" s="449" t="s">
        <v>5</v>
      </c>
      <c r="B8" s="124">
        <f>'4ابلاغی'!E25</f>
        <v>0</v>
      </c>
      <c r="C8" s="124">
        <f>'4ابلاغی'!B40</f>
        <v>0</v>
      </c>
      <c r="D8" s="124">
        <f>'4ابلاغی'!C40</f>
        <v>0</v>
      </c>
      <c r="E8" s="124">
        <f>'4ابلاغی'!D40</f>
        <v>0</v>
      </c>
      <c r="F8" s="124">
        <f>'4ابلاغی'!E40</f>
        <v>0</v>
      </c>
      <c r="G8" s="124">
        <f>'4ابلاغی'!F40</f>
        <v>0</v>
      </c>
      <c r="H8" s="124">
        <f>'4ابلاغی'!G40</f>
        <v>0</v>
      </c>
      <c r="I8" s="124">
        <f>'4ابلاغی'!H40</f>
        <v>0</v>
      </c>
      <c r="J8" s="124">
        <f>'4ابلاغی'!I40</f>
        <v>0</v>
      </c>
      <c r="K8" s="124">
        <f>'4ابلاغی'!J40</f>
        <v>0</v>
      </c>
      <c r="L8" s="124">
        <f>'4ابلاغی'!K40</f>
        <v>0</v>
      </c>
      <c r="M8" s="125">
        <f>'4ابلاغی'!L40</f>
        <v>0</v>
      </c>
      <c r="N8" s="23"/>
      <c r="O8" s="590" t="str">
        <f>IF(E17='رو کش تراز '!O72," ","مغایرت جمع ستون کنترل تخصیص ابلاغی با کنترل تخصیص ابلاغی در روکش تراز")</f>
        <v xml:space="preserve"> </v>
      </c>
      <c r="P8" s="590"/>
      <c r="Q8" s="590"/>
      <c r="R8" s="590"/>
      <c r="S8" s="590"/>
      <c r="T8" s="590"/>
      <c r="U8" s="590"/>
      <c r="V8" s="590"/>
      <c r="W8" s="590"/>
      <c r="X8" s="590"/>
    </row>
    <row r="9" spans="1:24" ht="24" customHeight="1">
      <c r="A9" s="449" t="s">
        <v>5</v>
      </c>
      <c r="B9" s="124">
        <f>'4ابلاغی'!E47</f>
        <v>0</v>
      </c>
      <c r="C9" s="124">
        <f>'4ابلاغی'!B58</f>
        <v>0</v>
      </c>
      <c r="D9" s="124">
        <f>'4ابلاغی'!C58</f>
        <v>0</v>
      </c>
      <c r="E9" s="124">
        <f>'4ابلاغی'!D58</f>
        <v>0</v>
      </c>
      <c r="F9" s="124">
        <f>'4ابلاغی'!E58</f>
        <v>0</v>
      </c>
      <c r="G9" s="124">
        <f>'4ابلاغی'!F58</f>
        <v>0</v>
      </c>
      <c r="H9" s="124">
        <f>'4ابلاغی'!G58</f>
        <v>0</v>
      </c>
      <c r="I9" s="124">
        <f>'4ابلاغی'!H58</f>
        <v>0</v>
      </c>
      <c r="J9" s="124">
        <f>'4ابلاغی'!I58</f>
        <v>0</v>
      </c>
      <c r="K9" s="124">
        <f>'4ابلاغی'!J58</f>
        <v>0</v>
      </c>
      <c r="L9" s="124">
        <f>'4ابلاغی'!K58</f>
        <v>0</v>
      </c>
      <c r="M9" s="125">
        <f>'4ابلاغی'!L58</f>
        <v>0</v>
      </c>
      <c r="N9" s="23"/>
      <c r="O9" s="603" t="str">
        <f>IF(F17='رو کش تراز '!K67+'رو کش تراز '!K68+'رو کش تراز '!K69," ","مغایرت جمع ستون هزینه ابلاغی با هزینه های ابلاغی  ( هزینه حقوق و مزایا،سایر هزینه ها وهزینه های سهم دولت ) در روکش تراز")</f>
        <v xml:space="preserve"> </v>
      </c>
      <c r="P9" s="603"/>
      <c r="Q9" s="603"/>
      <c r="R9" s="603"/>
      <c r="S9" s="603"/>
      <c r="T9" s="603"/>
      <c r="U9" s="603"/>
      <c r="V9" s="603"/>
      <c r="W9" s="603"/>
      <c r="X9" s="603"/>
    </row>
    <row r="10" spans="1:24" ht="24" customHeight="1">
      <c r="A10" s="449" t="s">
        <v>5</v>
      </c>
      <c r="B10" s="124">
        <f>'4ابلاغی'!E65</f>
        <v>0</v>
      </c>
      <c r="C10" s="124">
        <f>'4ابلاغی'!B76</f>
        <v>0</v>
      </c>
      <c r="D10" s="124">
        <f>'4ابلاغی'!C76</f>
        <v>0</v>
      </c>
      <c r="E10" s="124">
        <f>'4ابلاغی'!D76</f>
        <v>0</v>
      </c>
      <c r="F10" s="124">
        <f>'4ابلاغی'!E76</f>
        <v>0</v>
      </c>
      <c r="G10" s="124">
        <f>'4ابلاغی'!F76</f>
        <v>0</v>
      </c>
      <c r="H10" s="124">
        <f>'4ابلاغی'!G76</f>
        <v>0</v>
      </c>
      <c r="I10" s="124">
        <f>'4ابلاغی'!H76</f>
        <v>0</v>
      </c>
      <c r="J10" s="124">
        <f>'4ابلاغی'!I76</f>
        <v>0</v>
      </c>
      <c r="K10" s="124">
        <f>'4ابلاغی'!J76</f>
        <v>0</v>
      </c>
      <c r="L10" s="124">
        <f>'4ابلاغی'!K76</f>
        <v>0</v>
      </c>
      <c r="M10" s="125">
        <f>'4ابلاغی'!L76</f>
        <v>0</v>
      </c>
      <c r="N10" s="23"/>
      <c r="O10" s="590" t="str">
        <f>IF(G17='رو کش تراز '!K64," ","مغایرت جمع ستون پیش پرداخت ابلاغی با مانده پیش پرداخت ابلاغی در روکش تراز")</f>
        <v xml:space="preserve"> </v>
      </c>
      <c r="P10" s="590"/>
      <c r="Q10" s="590"/>
      <c r="R10" s="590"/>
      <c r="S10" s="590"/>
      <c r="T10" s="590"/>
      <c r="U10" s="590"/>
      <c r="V10" s="590"/>
      <c r="W10" s="590"/>
      <c r="X10" s="91"/>
    </row>
    <row r="11" spans="1:24" ht="24" customHeight="1">
      <c r="A11" s="449" t="s">
        <v>5</v>
      </c>
      <c r="B11" s="124">
        <f>'4ابلاغی'!E83</f>
        <v>0</v>
      </c>
      <c r="C11" s="124">
        <f>'4ابلاغی'!B94</f>
        <v>0</v>
      </c>
      <c r="D11" s="124">
        <f>'4ابلاغی'!C94</f>
        <v>0</v>
      </c>
      <c r="E11" s="124">
        <f>'4ابلاغی'!D94</f>
        <v>0</v>
      </c>
      <c r="F11" s="124">
        <f>'4ابلاغی'!E94</f>
        <v>0</v>
      </c>
      <c r="G11" s="124">
        <f>'4ابلاغی'!F94</f>
        <v>0</v>
      </c>
      <c r="H11" s="124">
        <f>'4ابلاغی'!G94</f>
        <v>0</v>
      </c>
      <c r="I11" s="124">
        <f>'4ابلاغی'!H94</f>
        <v>0</v>
      </c>
      <c r="J11" s="124">
        <f>'4ابلاغی'!I94</f>
        <v>0</v>
      </c>
      <c r="K11" s="124">
        <f>'4ابلاغی'!J94</f>
        <v>0</v>
      </c>
      <c r="L11" s="124">
        <f>'4ابلاغی'!K94</f>
        <v>0</v>
      </c>
      <c r="M11" s="125">
        <f>'4ابلاغی'!L94</f>
        <v>0</v>
      </c>
      <c r="N11" s="23"/>
      <c r="O11" s="590" t="str">
        <f>IF(I17='رو کش تراز '!K65," ","مغایرت جمع ستون علی الحساب ابلاغی با مانده علی الحساب ابلاغی در روکش تراز")</f>
        <v xml:space="preserve"> </v>
      </c>
      <c r="P11" s="590"/>
      <c r="Q11" s="590"/>
      <c r="R11" s="590"/>
      <c r="S11" s="590"/>
      <c r="T11" s="590"/>
      <c r="U11" s="590"/>
      <c r="V11" s="590"/>
      <c r="W11" s="590"/>
      <c r="X11" s="590"/>
    </row>
    <row r="12" spans="1:24" ht="24" customHeight="1">
      <c r="A12" s="449" t="s">
        <v>5</v>
      </c>
      <c r="B12" s="124">
        <f>'4ابلاغی'!E101</f>
        <v>0</v>
      </c>
      <c r="C12" s="124">
        <f>'4ابلاغی'!B112</f>
        <v>0</v>
      </c>
      <c r="D12" s="124">
        <f>'4ابلاغی'!C112</f>
        <v>0</v>
      </c>
      <c r="E12" s="124">
        <f>'4ابلاغی'!D112</f>
        <v>0</v>
      </c>
      <c r="F12" s="124">
        <f>'4ابلاغی'!E112</f>
        <v>0</v>
      </c>
      <c r="G12" s="124">
        <f>'4ابلاغی'!F112</f>
        <v>0</v>
      </c>
      <c r="H12" s="124">
        <f>'4ابلاغی'!G112</f>
        <v>0</v>
      </c>
      <c r="I12" s="124">
        <f>'4ابلاغی'!H112</f>
        <v>0</v>
      </c>
      <c r="J12" s="124">
        <f>'4ابلاغی'!I112</f>
        <v>0</v>
      </c>
      <c r="K12" s="124">
        <f>'4ابلاغی'!J112</f>
        <v>0</v>
      </c>
      <c r="L12" s="124">
        <f>'4ابلاغی'!K112</f>
        <v>0</v>
      </c>
      <c r="M12" s="125">
        <f>'4ابلاغی'!L112</f>
        <v>0</v>
      </c>
      <c r="N12" s="23"/>
      <c r="O12" s="590" t="str">
        <f>IF(L17+M17='رو کش تراز '!K59," ","مغایرت جمع ستون واریزی به خزانه (ابلاغی) با مانده بانک پرداخت اعتبارات ابلاغی در روکش تراز")</f>
        <v xml:space="preserve"> </v>
      </c>
      <c r="P12" s="590"/>
      <c r="Q12" s="590"/>
      <c r="R12" s="590"/>
      <c r="S12" s="590"/>
      <c r="T12" s="590"/>
      <c r="U12" s="590"/>
      <c r="V12" s="590"/>
      <c r="W12" s="590"/>
      <c r="X12" s="590"/>
    </row>
    <row r="13" spans="1:24" ht="24" customHeight="1">
      <c r="A13" s="449" t="s">
        <v>5</v>
      </c>
      <c r="B13" s="124">
        <f>'4ابلاغی'!E119</f>
        <v>0</v>
      </c>
      <c r="C13" s="124">
        <f>'4ابلاغی'!B130</f>
        <v>0</v>
      </c>
      <c r="D13" s="124">
        <f>'4ابلاغی'!C130</f>
        <v>0</v>
      </c>
      <c r="E13" s="124">
        <f>'4ابلاغی'!D130</f>
        <v>0</v>
      </c>
      <c r="F13" s="124">
        <f>'4ابلاغی'!E130</f>
        <v>0</v>
      </c>
      <c r="G13" s="124">
        <f>'4ابلاغی'!F130</f>
        <v>0</v>
      </c>
      <c r="H13" s="124">
        <f>'4ابلاغی'!G130</f>
        <v>0</v>
      </c>
      <c r="I13" s="124">
        <f>'4ابلاغی'!H130</f>
        <v>0</v>
      </c>
      <c r="J13" s="124">
        <f>'4ابلاغی'!I130</f>
        <v>0</v>
      </c>
      <c r="K13" s="124">
        <f>'4ابلاغی'!J130</f>
        <v>0</v>
      </c>
      <c r="L13" s="124">
        <f>'4ابلاغی'!K130</f>
        <v>0</v>
      </c>
      <c r="M13" s="125">
        <f>'4ابلاغی'!L130</f>
        <v>0</v>
      </c>
      <c r="N13" s="23"/>
      <c r="O13" s="590"/>
      <c r="P13" s="590"/>
      <c r="Q13" s="590"/>
      <c r="R13" s="590"/>
      <c r="S13" s="590"/>
      <c r="T13" s="590"/>
      <c r="U13" s="590"/>
      <c r="V13" s="590"/>
      <c r="W13" s="590"/>
      <c r="X13" s="590"/>
    </row>
    <row r="14" spans="1:24" ht="24" customHeight="1">
      <c r="A14" s="449" t="s">
        <v>5</v>
      </c>
      <c r="B14" s="124">
        <f>'4ابلاغی'!E137</f>
        <v>0</v>
      </c>
      <c r="C14" s="124">
        <f>'4ابلاغی'!B148</f>
        <v>0</v>
      </c>
      <c r="D14" s="124">
        <f>'4ابلاغی'!C148</f>
        <v>0</v>
      </c>
      <c r="E14" s="124">
        <f>'4ابلاغی'!D148</f>
        <v>0</v>
      </c>
      <c r="F14" s="124">
        <f>'4ابلاغی'!E148</f>
        <v>0</v>
      </c>
      <c r="G14" s="124">
        <f>'4ابلاغی'!F148</f>
        <v>0</v>
      </c>
      <c r="H14" s="124">
        <f>'4ابلاغی'!G148</f>
        <v>0</v>
      </c>
      <c r="I14" s="124">
        <f>'4ابلاغی'!H148</f>
        <v>0</v>
      </c>
      <c r="J14" s="124">
        <f>'4ابلاغی'!I148</f>
        <v>0</v>
      </c>
      <c r="K14" s="124">
        <f>'4ابلاغی'!J148</f>
        <v>0</v>
      </c>
      <c r="L14" s="124">
        <f>'4ابلاغی'!K148</f>
        <v>0</v>
      </c>
      <c r="M14" s="125">
        <f>'4ابلاغی'!L148</f>
        <v>0</v>
      </c>
      <c r="N14" s="23"/>
      <c r="O14" s="166"/>
      <c r="P14" s="166"/>
      <c r="Q14" s="166"/>
      <c r="R14" s="166"/>
      <c r="S14" s="166"/>
      <c r="T14" s="166"/>
      <c r="U14" s="166"/>
      <c r="V14" s="166"/>
      <c r="W14" s="166"/>
      <c r="X14" s="91"/>
    </row>
    <row r="15" spans="1:24" ht="24" customHeight="1">
      <c r="A15" s="449" t="s">
        <v>5</v>
      </c>
      <c r="B15" s="124">
        <f>'4ابلاغی'!E155</f>
        <v>0</v>
      </c>
      <c r="C15" s="124">
        <f>'4ابلاغی'!B166</f>
        <v>0</v>
      </c>
      <c r="D15" s="124">
        <f>'4ابلاغی'!C166</f>
        <v>0</v>
      </c>
      <c r="E15" s="124">
        <f>'4ابلاغی'!D166</f>
        <v>0</v>
      </c>
      <c r="F15" s="124">
        <f>'4ابلاغی'!E166</f>
        <v>0</v>
      </c>
      <c r="G15" s="124">
        <f>'4ابلاغی'!F166</f>
        <v>0</v>
      </c>
      <c r="H15" s="124">
        <f>'4ابلاغی'!G166</f>
        <v>0</v>
      </c>
      <c r="I15" s="124">
        <f>'4ابلاغی'!H166</f>
        <v>0</v>
      </c>
      <c r="J15" s="124">
        <f>'4ابلاغی'!I166</f>
        <v>0</v>
      </c>
      <c r="K15" s="124">
        <f>'4ابلاغی'!J166</f>
        <v>0</v>
      </c>
      <c r="L15" s="124">
        <f>'4ابلاغی'!K166</f>
        <v>0</v>
      </c>
      <c r="M15" s="125">
        <f>'4ابلاغی'!L166</f>
        <v>0</v>
      </c>
      <c r="N15" s="23"/>
      <c r="O15" s="166"/>
      <c r="P15" s="166"/>
      <c r="Q15" s="166"/>
      <c r="R15" s="166"/>
      <c r="S15" s="166"/>
      <c r="T15" s="166"/>
      <c r="U15" s="166"/>
      <c r="V15" s="166"/>
      <c r="W15" s="166"/>
      <c r="X15" s="91"/>
    </row>
    <row r="16" spans="1:24" ht="24" customHeight="1">
      <c r="A16" s="449" t="s">
        <v>5</v>
      </c>
      <c r="B16" s="124">
        <f>'4ابلاغی'!E173</f>
        <v>0</v>
      </c>
      <c r="C16" s="124">
        <f>'4ابلاغی'!B184</f>
        <v>0</v>
      </c>
      <c r="D16" s="124">
        <f>'4ابلاغی'!C184</f>
        <v>0</v>
      </c>
      <c r="E16" s="124">
        <f>'4ابلاغی'!D184</f>
        <v>0</v>
      </c>
      <c r="F16" s="124">
        <f>'4ابلاغی'!E184</f>
        <v>0</v>
      </c>
      <c r="G16" s="124">
        <f>'4ابلاغی'!F184</f>
        <v>0</v>
      </c>
      <c r="H16" s="124">
        <f>'4ابلاغی'!G184</f>
        <v>0</v>
      </c>
      <c r="I16" s="124">
        <f>'4ابلاغی'!H184</f>
        <v>0</v>
      </c>
      <c r="J16" s="124">
        <f>'4ابلاغی'!I184</f>
        <v>0</v>
      </c>
      <c r="K16" s="124">
        <f>'4ابلاغی'!J184</f>
        <v>0</v>
      </c>
      <c r="L16" s="124">
        <f>'4ابلاغی'!K184</f>
        <v>0</v>
      </c>
      <c r="M16" s="125">
        <f>'4ابلاغی'!L184</f>
        <v>0</v>
      </c>
      <c r="N16" s="23"/>
      <c r="O16" s="590"/>
      <c r="P16" s="590"/>
      <c r="Q16" s="590"/>
      <c r="R16" s="590"/>
      <c r="S16" s="590"/>
      <c r="T16" s="590"/>
      <c r="U16" s="590"/>
      <c r="V16" s="91"/>
      <c r="W16" s="91"/>
      <c r="X16" s="91"/>
    </row>
    <row r="17" spans="1:29" ht="31.5" customHeight="1" thickBot="1">
      <c r="A17" s="577" t="s">
        <v>6</v>
      </c>
      <c r="B17" s="578"/>
      <c r="C17" s="126">
        <f>SUM(C7:C16)</f>
        <v>0</v>
      </c>
      <c r="D17" s="126">
        <f t="shared" ref="D17:M17" si="0">SUM(D7:D16)</f>
        <v>0</v>
      </c>
      <c r="E17" s="126">
        <f t="shared" si="0"/>
        <v>0</v>
      </c>
      <c r="F17" s="126">
        <f t="shared" si="0"/>
        <v>0</v>
      </c>
      <c r="G17" s="126">
        <f t="shared" si="0"/>
        <v>0</v>
      </c>
      <c r="H17" s="126">
        <f t="shared" si="0"/>
        <v>0</v>
      </c>
      <c r="I17" s="126">
        <f t="shared" si="0"/>
        <v>0</v>
      </c>
      <c r="J17" s="126">
        <f t="shared" si="0"/>
        <v>0</v>
      </c>
      <c r="K17" s="126">
        <f t="shared" si="0"/>
        <v>0</v>
      </c>
      <c r="L17" s="126">
        <f t="shared" si="0"/>
        <v>0</v>
      </c>
      <c r="M17" s="127">
        <f t="shared" si="0"/>
        <v>0</v>
      </c>
      <c r="N17" s="23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43"/>
      <c r="Z17" s="43"/>
      <c r="AA17" s="43"/>
      <c r="AB17" s="43"/>
      <c r="AC17" s="43"/>
    </row>
    <row r="18" spans="1:29" ht="30" customHeight="1" thickBot="1">
      <c r="A18" s="579" t="s">
        <v>7</v>
      </c>
      <c r="B18" s="580"/>
      <c r="C18" s="128">
        <f t="shared" ref="C18:M18" si="1">C6+C17</f>
        <v>0</v>
      </c>
      <c r="D18" s="128">
        <f t="shared" si="1"/>
        <v>0</v>
      </c>
      <c r="E18" s="128">
        <f t="shared" si="1"/>
        <v>0</v>
      </c>
      <c r="F18" s="128">
        <f t="shared" si="1"/>
        <v>0</v>
      </c>
      <c r="G18" s="128">
        <f t="shared" si="1"/>
        <v>0</v>
      </c>
      <c r="H18" s="128">
        <f t="shared" si="1"/>
        <v>0</v>
      </c>
      <c r="I18" s="128">
        <f t="shared" si="1"/>
        <v>0</v>
      </c>
      <c r="J18" s="128">
        <f t="shared" si="1"/>
        <v>0</v>
      </c>
      <c r="K18" s="128">
        <f t="shared" si="1"/>
        <v>0</v>
      </c>
      <c r="L18" s="128">
        <f t="shared" si="1"/>
        <v>0</v>
      </c>
      <c r="M18" s="129">
        <f t="shared" si="1"/>
        <v>0</v>
      </c>
      <c r="N18" s="23"/>
      <c r="O18" s="590"/>
      <c r="P18" s="590"/>
      <c r="Q18" s="590"/>
      <c r="R18" s="590"/>
      <c r="S18" s="590"/>
      <c r="T18" s="590"/>
      <c r="U18" s="91"/>
      <c r="V18" s="91"/>
      <c r="W18" s="91"/>
      <c r="X18" s="91"/>
    </row>
    <row r="19" spans="1:29" s="200" customFormat="1" ht="38.25" customHeight="1" thickTop="1">
      <c r="A19" s="588" t="s">
        <v>21</v>
      </c>
      <c r="B19" s="588"/>
      <c r="C19" s="345">
        <f>'صفحه اصلی'!C10</f>
        <v>0</v>
      </c>
      <c r="D19" s="589" t="s">
        <v>8</v>
      </c>
      <c r="E19" s="589"/>
      <c r="F19" s="345">
        <f>'صفحه اصلی'!C11</f>
        <v>0</v>
      </c>
      <c r="G19" s="344" t="s">
        <v>9</v>
      </c>
      <c r="H19" s="581">
        <f>'صفحه اصلی'!C12</f>
        <v>0</v>
      </c>
      <c r="I19" s="581"/>
      <c r="J19" s="345"/>
      <c r="K19" s="346" t="s">
        <v>10</v>
      </c>
      <c r="L19" s="581">
        <f>'صفحه اصلی'!C13</f>
        <v>0</v>
      </c>
      <c r="M19" s="581"/>
    </row>
    <row r="20" spans="1:29" s="4" customFormat="1" ht="26.25" customHeight="1" thickBot="1">
      <c r="A20" s="587" t="s">
        <v>19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450" t="s">
        <v>49</v>
      </c>
    </row>
    <row r="21" spans="1:29" s="167" customFormat="1" ht="25.5" customHeight="1" thickTop="1" thickBot="1">
      <c r="A21" s="582" t="s">
        <v>400</v>
      </c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4"/>
      <c r="N21" s="168"/>
    </row>
    <row r="22" spans="1:29" s="167" customFormat="1" ht="25.5" customHeight="1" thickBot="1">
      <c r="A22" s="203" t="s">
        <v>11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6"/>
      <c r="N22" s="168"/>
    </row>
    <row r="23" spans="1:29" s="371" customFormat="1" ht="36" thickTop="1">
      <c r="A23" s="576" t="s">
        <v>404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37">
    <mergeCell ref="O18:T18"/>
    <mergeCell ref="O7:V7"/>
    <mergeCell ref="O9:X9"/>
    <mergeCell ref="O16:U16"/>
    <mergeCell ref="O8:X8"/>
    <mergeCell ref="O10:W10"/>
    <mergeCell ref="O17:X17"/>
    <mergeCell ref="O11:X11"/>
    <mergeCell ref="O13:X13"/>
    <mergeCell ref="O12:X12"/>
    <mergeCell ref="O6:T6"/>
    <mergeCell ref="A2:B2"/>
    <mergeCell ref="A3:B3"/>
    <mergeCell ref="C4:C5"/>
    <mergeCell ref="D4:D5"/>
    <mergeCell ref="E4:E5"/>
    <mergeCell ref="F4:F5"/>
    <mergeCell ref="K4:K5"/>
    <mergeCell ref="J4:J5"/>
    <mergeCell ref="H4:H5"/>
    <mergeCell ref="M4:M5"/>
    <mergeCell ref="A4:B5"/>
    <mergeCell ref="A6:B6"/>
    <mergeCell ref="G4:G5"/>
    <mergeCell ref="I4:I5"/>
    <mergeCell ref="A1:M1"/>
    <mergeCell ref="L4:L5"/>
    <mergeCell ref="A23:M23"/>
    <mergeCell ref="A17:B17"/>
    <mergeCell ref="A18:B18"/>
    <mergeCell ref="L19:M19"/>
    <mergeCell ref="H19:I19"/>
    <mergeCell ref="A21:M21"/>
    <mergeCell ref="B22:M22"/>
    <mergeCell ref="A20:L20"/>
    <mergeCell ref="A19:B19"/>
    <mergeCell ref="D19:E19"/>
  </mergeCells>
  <pageMargins left="0.25" right="0.32" top="0.26" bottom="0.22" header="0.26" footer="0.21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U25"/>
  <sheetViews>
    <sheetView showGridLines="0" rightToLeft="1" view="pageBreakPreview" zoomScale="80" zoomScaleNormal="90" zoomScaleSheetLayoutView="80" workbookViewId="0">
      <selection activeCell="C20" sqref="C20"/>
    </sheetView>
  </sheetViews>
  <sheetFormatPr defaultRowHeight="14.25"/>
  <cols>
    <col min="1" max="1" width="8.125" style="3" customWidth="1"/>
    <col min="2" max="2" width="14.625" style="3" customWidth="1"/>
    <col min="3" max="3" width="12.625" style="3" customWidth="1"/>
    <col min="4" max="4" width="12.5" style="3" customWidth="1"/>
    <col min="5" max="5" width="12.625" style="3" customWidth="1"/>
    <col min="6" max="8" width="9.125" style="3" customWidth="1"/>
    <col min="9" max="10" width="11.625" style="3" customWidth="1"/>
    <col min="11" max="11" width="9.125" style="3" customWidth="1"/>
    <col min="12" max="12" width="16.125" style="3" customWidth="1"/>
    <col min="13" max="13" width="1.875" style="3" customWidth="1"/>
    <col min="14" max="16384" width="9" style="3"/>
  </cols>
  <sheetData>
    <row r="1" spans="1:21" s="4" customFormat="1" ht="36" customHeight="1">
      <c r="A1" s="1"/>
      <c r="B1" s="1"/>
      <c r="C1" s="604" t="s">
        <v>22</v>
      </c>
      <c r="D1" s="604"/>
      <c r="E1" s="604"/>
      <c r="F1" s="604"/>
      <c r="G1" s="604"/>
      <c r="H1" s="604"/>
      <c r="I1" s="604"/>
      <c r="J1" s="604"/>
      <c r="K1" s="1"/>
    </row>
    <row r="2" spans="1:21" s="6" customFormat="1" ht="30" customHeight="1">
      <c r="A2" s="611" t="s">
        <v>0</v>
      </c>
      <c r="B2" s="611"/>
      <c r="C2" s="241">
        <f>'صفحه اصلی'!C7</f>
        <v>0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21" s="6" customFormat="1" ht="27" customHeight="1" thickBot="1">
      <c r="A3" s="612" t="s">
        <v>1</v>
      </c>
      <c r="B3" s="612"/>
      <c r="C3" s="359">
        <f>'صفحه اصلی'!C8</f>
        <v>0</v>
      </c>
      <c r="D3" s="372"/>
      <c r="E3" s="372"/>
      <c r="F3" s="356" t="s">
        <v>53</v>
      </c>
      <c r="G3" s="359">
        <f>'صفحه اصلی'!C9</f>
        <v>0</v>
      </c>
      <c r="H3" s="359"/>
      <c r="I3" s="356"/>
      <c r="J3" s="372"/>
      <c r="K3" s="372"/>
      <c r="L3" s="372"/>
      <c r="N3" s="171"/>
      <c r="O3" s="171"/>
      <c r="P3" s="171"/>
      <c r="Q3" s="171"/>
      <c r="R3" s="171"/>
      <c r="S3" s="171"/>
      <c r="T3" s="171"/>
      <c r="U3" s="171"/>
    </row>
    <row r="4" spans="1:21" s="9" customFormat="1" ht="30" customHeight="1" thickTop="1" thickBot="1">
      <c r="A4" s="613" t="s">
        <v>12</v>
      </c>
      <c r="B4" s="615" t="s">
        <v>20</v>
      </c>
      <c r="C4" s="618" t="s">
        <v>13</v>
      </c>
      <c r="D4" s="619"/>
      <c r="E4" s="619"/>
      <c r="F4" s="619"/>
      <c r="G4" s="619"/>
      <c r="H4" s="620"/>
      <c r="I4" s="621" t="s">
        <v>14</v>
      </c>
      <c r="J4" s="622"/>
      <c r="K4" s="615" t="s">
        <v>15</v>
      </c>
      <c r="L4" s="623" t="s">
        <v>16</v>
      </c>
      <c r="N4" s="172"/>
      <c r="O4" s="172"/>
      <c r="P4" s="172"/>
      <c r="Q4" s="172"/>
      <c r="R4" s="172"/>
      <c r="S4" s="172"/>
      <c r="T4" s="172"/>
      <c r="U4" s="172"/>
    </row>
    <row r="5" spans="1:21" s="9" customFormat="1" ht="30" customHeight="1" thickBot="1">
      <c r="A5" s="614"/>
      <c r="B5" s="616"/>
      <c r="C5" s="106"/>
      <c r="D5" s="106"/>
      <c r="E5" s="107"/>
      <c r="F5" s="107"/>
      <c r="G5" s="107"/>
      <c r="H5" s="107"/>
      <c r="I5" s="10" t="s">
        <v>17</v>
      </c>
      <c r="J5" s="10" t="s">
        <v>18</v>
      </c>
      <c r="K5" s="616"/>
      <c r="L5" s="624"/>
      <c r="N5" s="172"/>
      <c r="O5" s="172"/>
      <c r="P5" s="172"/>
      <c r="Q5" s="172"/>
      <c r="R5" s="172"/>
      <c r="S5" s="172"/>
      <c r="T5" s="172"/>
      <c r="U5" s="172"/>
    </row>
    <row r="6" spans="1:21" s="9" customFormat="1" ht="21" customHeight="1">
      <c r="A6" s="43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76">
        <f t="shared" ref="L6:L11" si="0">SUM(B6:I6)-(J6+K6)</f>
        <v>0</v>
      </c>
      <c r="N6" s="602" t="str">
        <f>IF(L20='رو کش تراز '!O8," ","مغایرت جمع ستون اعتبار اصلاحی با مانده دستگاه اجرایی استانی در روکش تراز")</f>
        <v xml:space="preserve"> </v>
      </c>
      <c r="O6" s="602"/>
      <c r="P6" s="602"/>
      <c r="Q6" s="602"/>
      <c r="R6" s="602"/>
      <c r="S6" s="602"/>
      <c r="T6" s="602"/>
      <c r="U6" s="602"/>
    </row>
    <row r="7" spans="1:21" s="9" customFormat="1" ht="21" customHeight="1">
      <c r="A7" s="43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376">
        <f t="shared" si="0"/>
        <v>0</v>
      </c>
      <c r="N7" s="625"/>
      <c r="O7" s="625"/>
      <c r="P7" s="625"/>
      <c r="Q7" s="625"/>
      <c r="R7" s="625"/>
      <c r="S7" s="625"/>
      <c r="T7" s="625"/>
      <c r="U7" s="625"/>
    </row>
    <row r="8" spans="1:21" s="9" customFormat="1" ht="21" customHeight="1">
      <c r="A8" s="432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69">
        <f t="shared" si="0"/>
        <v>0</v>
      </c>
      <c r="N8" s="625"/>
      <c r="O8" s="625"/>
      <c r="P8" s="625"/>
      <c r="Q8" s="625"/>
      <c r="R8" s="625"/>
      <c r="S8" s="625"/>
      <c r="T8" s="625"/>
      <c r="U8" s="625"/>
    </row>
    <row r="9" spans="1:21" s="9" customFormat="1" ht="21" customHeight="1">
      <c r="A9" s="43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377">
        <f t="shared" si="0"/>
        <v>0</v>
      </c>
      <c r="N9" s="625"/>
      <c r="O9" s="625"/>
      <c r="P9" s="625"/>
      <c r="Q9" s="625"/>
      <c r="R9" s="625"/>
      <c r="S9" s="625"/>
      <c r="T9" s="625"/>
      <c r="U9" s="625"/>
    </row>
    <row r="10" spans="1:21" s="9" customFormat="1" ht="21" customHeight="1">
      <c r="A10" s="432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377">
        <f t="shared" si="0"/>
        <v>0</v>
      </c>
      <c r="N10" s="625"/>
      <c r="O10" s="625"/>
      <c r="P10" s="625"/>
      <c r="Q10" s="625"/>
      <c r="R10" s="625"/>
      <c r="S10" s="625"/>
      <c r="T10" s="625"/>
      <c r="U10" s="625"/>
    </row>
    <row r="11" spans="1:21" s="9" customFormat="1" ht="21" customHeight="1">
      <c r="A11" s="43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377">
        <f t="shared" si="0"/>
        <v>0</v>
      </c>
      <c r="N11" s="625"/>
      <c r="O11" s="625"/>
      <c r="P11" s="625"/>
      <c r="Q11" s="625"/>
      <c r="R11" s="625"/>
      <c r="S11" s="625"/>
      <c r="T11" s="625"/>
      <c r="U11" s="625"/>
    </row>
    <row r="12" spans="1:21" s="9" customFormat="1" ht="21" customHeight="1">
      <c r="A12" s="432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377">
        <f t="shared" ref="L12:L19" si="1">SUM(B12:I12)-(J12+K12)</f>
        <v>0</v>
      </c>
      <c r="N12" s="625"/>
      <c r="O12" s="625"/>
      <c r="P12" s="625"/>
      <c r="Q12" s="625"/>
      <c r="R12" s="625"/>
      <c r="S12" s="625"/>
      <c r="T12" s="625"/>
      <c r="U12" s="625"/>
    </row>
    <row r="13" spans="1:21" s="9" customFormat="1" ht="21" customHeight="1">
      <c r="A13" s="432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377">
        <f t="shared" si="1"/>
        <v>0</v>
      </c>
      <c r="N13" s="173"/>
      <c r="O13" s="173"/>
      <c r="P13" s="173"/>
      <c r="Q13" s="173"/>
      <c r="R13" s="173"/>
      <c r="S13" s="173"/>
      <c r="T13" s="173"/>
      <c r="U13" s="173"/>
    </row>
    <row r="14" spans="1:21" s="9" customFormat="1" ht="21" customHeight="1">
      <c r="A14" s="43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377">
        <f t="shared" si="1"/>
        <v>0</v>
      </c>
      <c r="N14" s="173"/>
      <c r="O14" s="173"/>
      <c r="P14" s="173"/>
      <c r="Q14" s="173"/>
      <c r="R14" s="173"/>
      <c r="S14" s="173"/>
      <c r="T14" s="173"/>
      <c r="U14" s="173"/>
    </row>
    <row r="15" spans="1:21" s="9" customFormat="1" ht="21" customHeight="1">
      <c r="A15" s="43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377">
        <f t="shared" si="1"/>
        <v>0</v>
      </c>
      <c r="N15" s="173"/>
      <c r="O15" s="173"/>
      <c r="P15" s="173"/>
      <c r="Q15" s="173"/>
      <c r="R15" s="173"/>
      <c r="S15" s="173"/>
      <c r="T15" s="173"/>
      <c r="U15" s="173"/>
    </row>
    <row r="16" spans="1:21" s="9" customFormat="1" ht="21" customHeight="1">
      <c r="A16" s="43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377">
        <f t="shared" si="1"/>
        <v>0</v>
      </c>
      <c r="N16" s="173"/>
      <c r="O16" s="173"/>
      <c r="P16" s="173"/>
      <c r="Q16" s="173"/>
      <c r="R16" s="173"/>
      <c r="S16" s="173"/>
      <c r="T16" s="173"/>
      <c r="U16" s="173"/>
    </row>
    <row r="17" spans="1:21" s="9" customFormat="1" ht="21" customHeight="1">
      <c r="A17" s="43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377">
        <f t="shared" si="1"/>
        <v>0</v>
      </c>
      <c r="N17" s="469"/>
      <c r="O17" s="469"/>
      <c r="P17" s="469"/>
      <c r="Q17" s="469"/>
      <c r="R17" s="469"/>
      <c r="S17" s="469"/>
      <c r="T17" s="469"/>
      <c r="U17" s="469"/>
    </row>
    <row r="18" spans="1:21" s="9" customFormat="1" ht="21" customHeight="1">
      <c r="A18" s="43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377">
        <f t="shared" si="1"/>
        <v>0</v>
      </c>
      <c r="N18" s="469"/>
      <c r="O18" s="469"/>
      <c r="P18" s="469"/>
      <c r="Q18" s="469"/>
      <c r="R18" s="469"/>
      <c r="S18" s="469"/>
      <c r="T18" s="469"/>
      <c r="U18" s="469"/>
    </row>
    <row r="19" spans="1:21" s="9" customFormat="1" ht="21" customHeight="1" thickBot="1">
      <c r="A19" s="43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377">
        <f t="shared" si="1"/>
        <v>0</v>
      </c>
      <c r="N19" s="625"/>
      <c r="O19" s="625"/>
      <c r="P19" s="625"/>
      <c r="Q19" s="625"/>
      <c r="R19" s="625"/>
      <c r="S19" s="625"/>
      <c r="T19" s="625"/>
      <c r="U19" s="625"/>
    </row>
    <row r="20" spans="1:21" s="9" customFormat="1" ht="30" customHeight="1" thickBot="1">
      <c r="A20" s="378" t="s">
        <v>7</v>
      </c>
      <c r="B20" s="379">
        <f t="shared" ref="B20:L20" si="2">SUM(B6:B19)</f>
        <v>0</v>
      </c>
      <c r="C20" s="379">
        <f>SUM(C6:C19)</f>
        <v>0</v>
      </c>
      <c r="D20" s="379">
        <f t="shared" si="2"/>
        <v>0</v>
      </c>
      <c r="E20" s="379">
        <f t="shared" si="2"/>
        <v>0</v>
      </c>
      <c r="F20" s="379">
        <f t="shared" si="2"/>
        <v>0</v>
      </c>
      <c r="G20" s="379">
        <f t="shared" si="2"/>
        <v>0</v>
      </c>
      <c r="H20" s="379">
        <f t="shared" si="2"/>
        <v>0</v>
      </c>
      <c r="I20" s="379">
        <f t="shared" si="2"/>
        <v>0</v>
      </c>
      <c r="J20" s="379">
        <f t="shared" si="2"/>
        <v>0</v>
      </c>
      <c r="K20" s="379">
        <f t="shared" si="2"/>
        <v>0</v>
      </c>
      <c r="L20" s="75">
        <f t="shared" si="2"/>
        <v>0</v>
      </c>
      <c r="M20" s="97"/>
      <c r="N20" s="625"/>
      <c r="O20" s="625"/>
      <c r="P20" s="625"/>
      <c r="Q20" s="625"/>
      <c r="R20" s="625"/>
      <c r="S20" s="625"/>
      <c r="T20" s="625"/>
      <c r="U20" s="625"/>
    </row>
    <row r="21" spans="1:21" s="17" customFormat="1" ht="36" customHeight="1" thickTop="1">
      <c r="A21" s="609" t="s">
        <v>21</v>
      </c>
      <c r="B21" s="609"/>
      <c r="C21" s="380">
        <f>'صفحه اصلی'!C10</f>
        <v>0</v>
      </c>
      <c r="D21" s="610" t="s">
        <v>8</v>
      </c>
      <c r="E21" s="610"/>
      <c r="F21" s="605">
        <f>'صفحه اصلی'!C11</f>
        <v>0</v>
      </c>
      <c r="G21" s="605"/>
      <c r="H21" s="381" t="s">
        <v>9</v>
      </c>
      <c r="I21" s="382">
        <f>'صفحه اصلی'!C12</f>
        <v>0</v>
      </c>
      <c r="J21" s="606" t="s">
        <v>10</v>
      </c>
      <c r="K21" s="606"/>
      <c r="L21" s="382">
        <f>'صفحه اصلی'!C13</f>
        <v>0</v>
      </c>
    </row>
    <row r="22" spans="1:21" s="18" customFormat="1" ht="27" customHeight="1" thickBot="1">
      <c r="A22" s="617" t="s">
        <v>19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357" t="s">
        <v>411</v>
      </c>
    </row>
    <row r="23" spans="1:21" s="19" customFormat="1" ht="28.5" customHeight="1" thickTop="1" thickBot="1">
      <c r="A23" s="582" t="s">
        <v>399</v>
      </c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4"/>
    </row>
    <row r="24" spans="1:21" s="19" customFormat="1" ht="28.5" customHeight="1" thickBot="1">
      <c r="A24" s="203" t="s">
        <v>11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8"/>
    </row>
    <row r="25" spans="1:21" ht="15" thickTop="1"/>
  </sheetData>
  <sheetProtection formatCells="0" formatColumns="0" formatRows="0" insertColumns="0" insertRows="0" insertHyperlinks="0" deleteColumns="0" deleteRows="0" sort="0" autoFilter="0" pivotTables="0"/>
  <mergeCells count="25">
    <mergeCell ref="N11:U11"/>
    <mergeCell ref="N12:U12"/>
    <mergeCell ref="N19:U19"/>
    <mergeCell ref="N20:U20"/>
    <mergeCell ref="N6:U6"/>
    <mergeCell ref="N7:U7"/>
    <mergeCell ref="N8:U8"/>
    <mergeCell ref="N9:U9"/>
    <mergeCell ref="N10:U10"/>
    <mergeCell ref="C1:J1"/>
    <mergeCell ref="F21:G21"/>
    <mergeCell ref="J21:K21"/>
    <mergeCell ref="B24:L24"/>
    <mergeCell ref="A21:B21"/>
    <mergeCell ref="D21:E21"/>
    <mergeCell ref="A2:B2"/>
    <mergeCell ref="A3:B3"/>
    <mergeCell ref="A4:A5"/>
    <mergeCell ref="B4:B5"/>
    <mergeCell ref="A22:K22"/>
    <mergeCell ref="C4:H4"/>
    <mergeCell ref="I4:J4"/>
    <mergeCell ref="K4:K5"/>
    <mergeCell ref="A23:L23"/>
    <mergeCell ref="L4:L5"/>
  </mergeCells>
  <pageMargins left="0.25" right="0.28000000000000003" top="0.26" bottom="0.59" header="0.3" footer="0.3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U21"/>
  <sheetViews>
    <sheetView showGridLines="0" rightToLeft="1" view="pageBreakPreview" zoomScale="80" zoomScaleNormal="90" zoomScaleSheetLayoutView="80" workbookViewId="0">
      <selection activeCell="D11" sqref="D11"/>
    </sheetView>
  </sheetViews>
  <sheetFormatPr defaultRowHeight="14.25"/>
  <cols>
    <col min="1" max="1" width="8" style="3" customWidth="1"/>
    <col min="2" max="2" width="16.875" style="3" customWidth="1"/>
    <col min="3" max="5" width="12.625" style="3" customWidth="1"/>
    <col min="6" max="8" width="9.125" style="3" customWidth="1"/>
    <col min="9" max="10" width="11.125" style="3" customWidth="1"/>
    <col min="11" max="11" width="8.625" style="3" customWidth="1"/>
    <col min="12" max="12" width="16.125" style="3" customWidth="1"/>
    <col min="13" max="13" width="4" style="3" customWidth="1"/>
    <col min="14" max="16384" width="9" style="3"/>
  </cols>
  <sheetData>
    <row r="1" spans="1:21" s="361" customFormat="1" ht="37.5" customHeight="1">
      <c r="A1" s="385"/>
      <c r="B1" s="385"/>
      <c r="C1" s="626" t="s">
        <v>586</v>
      </c>
      <c r="D1" s="626"/>
      <c r="E1" s="626"/>
      <c r="F1" s="626"/>
      <c r="G1" s="626"/>
      <c r="H1" s="626"/>
      <c r="I1" s="626"/>
      <c r="J1" s="626"/>
      <c r="K1" s="385"/>
    </row>
    <row r="2" spans="1:21" s="363" customFormat="1" ht="27" customHeight="1">
      <c r="A2" s="591" t="s">
        <v>0</v>
      </c>
      <c r="B2" s="591"/>
      <c r="C2" s="362">
        <f>'صفحه اصلی'!C7</f>
        <v>0</v>
      </c>
      <c r="D2" s="362"/>
      <c r="E2" s="362"/>
      <c r="F2" s="362"/>
      <c r="G2" s="362"/>
      <c r="H2" s="362"/>
      <c r="I2" s="362"/>
      <c r="J2" s="362"/>
      <c r="K2" s="362"/>
      <c r="L2" s="362"/>
      <c r="N2" s="386"/>
      <c r="O2" s="386"/>
      <c r="P2" s="386"/>
      <c r="Q2" s="386"/>
      <c r="R2" s="386"/>
      <c r="S2" s="386"/>
      <c r="T2" s="386"/>
      <c r="U2" s="386"/>
    </row>
    <row r="3" spans="1:21" s="363" customFormat="1" ht="28.5" customHeight="1" thickBot="1">
      <c r="A3" s="592" t="s">
        <v>1</v>
      </c>
      <c r="B3" s="592"/>
      <c r="C3" s="383">
        <f>'صفحه اصلی'!C8</f>
        <v>0</v>
      </c>
      <c r="D3" s="365"/>
      <c r="E3" s="387"/>
      <c r="F3" s="366" t="s">
        <v>53</v>
      </c>
      <c r="G3" s="359">
        <f>'صفحه اصلی'!C9</f>
        <v>0</v>
      </c>
      <c r="H3" s="365"/>
      <c r="I3" s="366"/>
      <c r="J3" s="387"/>
      <c r="K3" s="387"/>
      <c r="L3" s="387"/>
      <c r="N3" s="386"/>
      <c r="O3" s="386"/>
      <c r="P3" s="386"/>
      <c r="Q3" s="386"/>
      <c r="R3" s="386"/>
      <c r="S3" s="386"/>
      <c r="T3" s="386"/>
      <c r="U3" s="386"/>
    </row>
    <row r="4" spans="1:21" s="50" customFormat="1" ht="30" customHeight="1" thickTop="1" thickBot="1">
      <c r="A4" s="635" t="s">
        <v>23</v>
      </c>
      <c r="B4" s="631" t="s">
        <v>20</v>
      </c>
      <c r="C4" s="637" t="s">
        <v>13</v>
      </c>
      <c r="D4" s="638"/>
      <c r="E4" s="638"/>
      <c r="F4" s="638"/>
      <c r="G4" s="638"/>
      <c r="H4" s="639"/>
      <c r="I4" s="640" t="s">
        <v>14</v>
      </c>
      <c r="J4" s="641"/>
      <c r="K4" s="631" t="s">
        <v>15</v>
      </c>
      <c r="L4" s="633" t="s">
        <v>16</v>
      </c>
      <c r="N4" s="174"/>
      <c r="O4" s="174"/>
      <c r="P4" s="174"/>
      <c r="Q4" s="174"/>
      <c r="R4" s="174"/>
      <c r="S4" s="174"/>
      <c r="T4" s="174"/>
      <c r="U4" s="174"/>
    </row>
    <row r="5" spans="1:21" s="50" customFormat="1" ht="30" customHeight="1" thickBot="1">
      <c r="A5" s="636"/>
      <c r="B5" s="632"/>
      <c r="C5" s="373"/>
      <c r="D5" s="373"/>
      <c r="E5" s="374"/>
      <c r="F5" s="374"/>
      <c r="G5" s="374"/>
      <c r="H5" s="374"/>
      <c r="I5" s="375" t="s">
        <v>17</v>
      </c>
      <c r="J5" s="375" t="s">
        <v>18</v>
      </c>
      <c r="K5" s="632"/>
      <c r="L5" s="634"/>
      <c r="N5" s="174"/>
      <c r="O5" s="174"/>
      <c r="P5" s="174"/>
      <c r="Q5" s="174"/>
      <c r="R5" s="174"/>
      <c r="S5" s="174"/>
      <c r="T5" s="174"/>
      <c r="U5" s="174"/>
    </row>
    <row r="6" spans="1:21" s="19" customFormat="1" ht="27.75" customHeight="1">
      <c r="A6" s="282" t="s">
        <v>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76">
        <f t="shared" ref="L6:L12" si="0">SUM(B6:I6)-(J6+K6)</f>
        <v>0</v>
      </c>
      <c r="N6" s="602" t="str">
        <f>IF(B13='2'!B20," ","مغایرت جمع ستون اعتبار مصوب بودجه با اعتبار مصوب بودجه فرم 2ه")</f>
        <v xml:space="preserve"> </v>
      </c>
      <c r="O6" s="602"/>
      <c r="P6" s="602"/>
      <c r="Q6" s="602"/>
      <c r="R6" s="602"/>
      <c r="S6" s="602"/>
      <c r="T6" s="602"/>
      <c r="U6" s="602"/>
    </row>
    <row r="7" spans="1:21" s="19" customFormat="1" ht="27.75" customHeight="1">
      <c r="A7" s="285" t="s">
        <v>25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376">
        <f t="shared" si="0"/>
        <v>0</v>
      </c>
      <c r="N7" s="602" t="str">
        <f>IF(L13='2'!L20," ","مغایرت جمع ستون اعتبار اصلاحی با اعتبار اصلاحی فرم 2ه")</f>
        <v xml:space="preserve"> </v>
      </c>
      <c r="O7" s="602"/>
      <c r="P7" s="602"/>
      <c r="Q7" s="602"/>
      <c r="R7" s="602"/>
      <c r="S7" s="602"/>
      <c r="T7" s="602"/>
      <c r="U7" s="602"/>
    </row>
    <row r="8" spans="1:21" s="19" customFormat="1" ht="27.75" customHeight="1">
      <c r="A8" s="285" t="s">
        <v>50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376">
        <f t="shared" si="0"/>
        <v>0</v>
      </c>
      <c r="N8" s="602"/>
      <c r="O8" s="602"/>
      <c r="P8" s="602"/>
      <c r="Q8" s="602"/>
      <c r="R8" s="602"/>
      <c r="S8" s="602"/>
      <c r="T8" s="602"/>
      <c r="U8" s="602"/>
    </row>
    <row r="9" spans="1:21" s="19" customFormat="1" ht="27.75" customHeight="1">
      <c r="A9" s="285" t="s">
        <v>26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377">
        <f t="shared" si="0"/>
        <v>0</v>
      </c>
      <c r="N9" s="602"/>
      <c r="O9" s="602"/>
      <c r="P9" s="602"/>
      <c r="Q9" s="602"/>
      <c r="R9" s="602"/>
      <c r="S9" s="602"/>
      <c r="T9" s="602"/>
      <c r="U9" s="602"/>
    </row>
    <row r="10" spans="1:21" s="19" customFormat="1" ht="27.75" customHeight="1">
      <c r="A10" s="285" t="s">
        <v>27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376">
        <f t="shared" si="0"/>
        <v>0</v>
      </c>
      <c r="N10" s="602"/>
      <c r="O10" s="602"/>
      <c r="P10" s="602"/>
      <c r="Q10" s="602"/>
      <c r="R10" s="602"/>
      <c r="S10" s="602"/>
      <c r="T10" s="602"/>
      <c r="U10" s="602"/>
    </row>
    <row r="11" spans="1:21" s="19" customFormat="1" ht="27.75" customHeight="1">
      <c r="A11" s="285" t="s">
        <v>28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376">
        <f t="shared" si="0"/>
        <v>0</v>
      </c>
      <c r="N11" s="602"/>
      <c r="O11" s="602"/>
      <c r="P11" s="602"/>
      <c r="Q11" s="602"/>
      <c r="R11" s="602"/>
      <c r="S11" s="602"/>
      <c r="T11" s="602"/>
      <c r="U11" s="602"/>
    </row>
    <row r="12" spans="1:21" s="19" customFormat="1" ht="27.75" customHeight="1" thickBot="1">
      <c r="A12" s="318" t="s">
        <v>29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376">
        <f t="shared" si="0"/>
        <v>0</v>
      </c>
      <c r="N12" s="602"/>
      <c r="O12" s="602"/>
      <c r="P12" s="602"/>
      <c r="Q12" s="602"/>
      <c r="R12" s="602"/>
      <c r="S12" s="602"/>
      <c r="T12" s="602"/>
      <c r="U12" s="602"/>
    </row>
    <row r="13" spans="1:21" s="9" customFormat="1" ht="30" customHeight="1" thickBot="1">
      <c r="A13" s="378" t="s">
        <v>7</v>
      </c>
      <c r="B13" s="384">
        <f>SUM(B5:B12)</f>
        <v>0</v>
      </c>
      <c r="C13" s="379">
        <f t="shared" ref="C13:K13" si="1">SUM(C5:C12)</f>
        <v>0</v>
      </c>
      <c r="D13" s="379">
        <f t="shared" si="1"/>
        <v>0</v>
      </c>
      <c r="E13" s="379">
        <f t="shared" si="1"/>
        <v>0</v>
      </c>
      <c r="F13" s="379">
        <f t="shared" si="1"/>
        <v>0</v>
      </c>
      <c r="G13" s="379">
        <f>SUM(G5:G12)</f>
        <v>0</v>
      </c>
      <c r="H13" s="379">
        <f>SUM(H5:H12)</f>
        <v>0</v>
      </c>
      <c r="I13" s="379">
        <f t="shared" si="1"/>
        <v>0</v>
      </c>
      <c r="J13" s="379">
        <f t="shared" si="1"/>
        <v>0</v>
      </c>
      <c r="K13" s="379">
        <f t="shared" si="1"/>
        <v>0</v>
      </c>
      <c r="L13" s="75">
        <f>SUM(L6:L12)</f>
        <v>0</v>
      </c>
      <c r="N13" s="602"/>
      <c r="O13" s="602"/>
      <c r="P13" s="602"/>
      <c r="Q13" s="602"/>
      <c r="R13" s="602"/>
      <c r="S13" s="602"/>
      <c r="T13" s="602"/>
      <c r="U13" s="602"/>
    </row>
    <row r="14" spans="1:21" s="369" customFormat="1" ht="41.25" customHeight="1" thickTop="1">
      <c r="A14" s="627" t="s">
        <v>21</v>
      </c>
      <c r="B14" s="627"/>
      <c r="C14" s="388">
        <f>'صفحه اصلی'!C10</f>
        <v>0</v>
      </c>
      <c r="D14" s="628" t="s">
        <v>8</v>
      </c>
      <c r="E14" s="628"/>
      <c r="F14" s="629">
        <f>'صفحه اصلی'!C11</f>
        <v>0</v>
      </c>
      <c r="G14" s="629"/>
      <c r="H14" s="389" t="s">
        <v>9</v>
      </c>
      <c r="I14" s="390">
        <f>'صفحه اصلی'!C12</f>
        <v>0</v>
      </c>
      <c r="J14" s="628" t="s">
        <v>10</v>
      </c>
      <c r="K14" s="630"/>
      <c r="L14" s="390">
        <f>'صفحه اصلی'!C13</f>
        <v>0</v>
      </c>
      <c r="N14" s="391"/>
      <c r="O14" s="391"/>
      <c r="P14" s="391"/>
      <c r="Q14" s="391"/>
      <c r="R14" s="391"/>
      <c r="S14" s="391"/>
      <c r="T14" s="391"/>
      <c r="U14" s="391"/>
    </row>
    <row r="15" spans="1:21" s="18" customFormat="1" ht="30.75" customHeight="1" thickBot="1">
      <c r="A15" s="617" t="s">
        <v>19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357" t="s">
        <v>51</v>
      </c>
      <c r="N15" s="175"/>
      <c r="O15" s="175"/>
      <c r="P15" s="175"/>
      <c r="Q15" s="175"/>
      <c r="R15" s="175"/>
      <c r="S15" s="175"/>
      <c r="T15" s="175"/>
      <c r="U15" s="175"/>
    </row>
    <row r="16" spans="1:21" s="19" customFormat="1" ht="28.5" customHeight="1" thickTop="1" thickBot="1">
      <c r="A16" s="582" t="s">
        <v>401</v>
      </c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4"/>
      <c r="N16" s="89"/>
      <c r="O16" s="89"/>
      <c r="P16" s="89"/>
      <c r="Q16" s="89"/>
      <c r="R16" s="89"/>
      <c r="S16" s="89"/>
      <c r="T16" s="89"/>
      <c r="U16" s="89"/>
    </row>
    <row r="17" spans="1:21" s="19" customFormat="1" ht="28.5" customHeight="1" thickBot="1">
      <c r="A17" s="203" t="s">
        <v>11</v>
      </c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8"/>
      <c r="N17" s="89"/>
      <c r="O17" s="89"/>
      <c r="P17" s="89"/>
      <c r="Q17" s="89"/>
      <c r="R17" s="89"/>
      <c r="S17" s="89"/>
      <c r="T17" s="89"/>
      <c r="U17" s="89"/>
    </row>
    <row r="18" spans="1:21" ht="15" thickTop="1"/>
    <row r="21" spans="1:21">
      <c r="F21" s="392"/>
    </row>
  </sheetData>
  <sheetProtection formatCells="0" formatColumns="0" formatRows="0" insertColumns="0" insertRows="0" insertHyperlinks="0" deleteColumns="0" deleteRows="0" sort="0" autoFilter="0" pivotTables="0"/>
  <mergeCells count="24">
    <mergeCell ref="N11:U11"/>
    <mergeCell ref="N12:U12"/>
    <mergeCell ref="N13:U13"/>
    <mergeCell ref="N6:U6"/>
    <mergeCell ref="N7:U7"/>
    <mergeCell ref="N8:U8"/>
    <mergeCell ref="N9:U9"/>
    <mergeCell ref="N10:U10"/>
    <mergeCell ref="C1:J1"/>
    <mergeCell ref="A2:B2"/>
    <mergeCell ref="A3:B3"/>
    <mergeCell ref="A15:K15"/>
    <mergeCell ref="B17:L17"/>
    <mergeCell ref="A16:L16"/>
    <mergeCell ref="A14:B14"/>
    <mergeCell ref="D14:E14"/>
    <mergeCell ref="F14:G14"/>
    <mergeCell ref="J14:K14"/>
    <mergeCell ref="K4:K5"/>
    <mergeCell ref="L4:L5"/>
    <mergeCell ref="A4:A5"/>
    <mergeCell ref="B4:B5"/>
    <mergeCell ref="C4:H4"/>
    <mergeCell ref="I4:J4"/>
  </mergeCells>
  <pageMargins left="0.22" right="0.25" top="0.75" bottom="0.75" header="0.3" footer="0.3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Y25"/>
  <sheetViews>
    <sheetView showGridLines="0" rightToLeft="1" view="pageBreakPreview" zoomScale="70" zoomScaleNormal="90" zoomScaleSheetLayoutView="70" workbookViewId="0">
      <selection activeCell="C6" sqref="C6"/>
    </sheetView>
  </sheetViews>
  <sheetFormatPr defaultRowHeight="20.25"/>
  <cols>
    <col min="1" max="1" width="8.25" style="167" customWidth="1"/>
    <col min="2" max="5" width="14.125" style="167" customWidth="1"/>
    <col min="6" max="6" width="11.625" style="167" customWidth="1"/>
    <col min="7" max="7" width="10.375" style="167" customWidth="1"/>
    <col min="8" max="8" width="11.25" style="167" customWidth="1"/>
    <col min="9" max="9" width="8.25" style="167" customWidth="1"/>
    <col min="10" max="10" width="8.5" style="167" customWidth="1"/>
    <col min="11" max="11" width="10.5" style="167" customWidth="1"/>
    <col min="12" max="12" width="10.375" style="167" customWidth="1"/>
    <col min="13" max="13" width="3.5" style="167" customWidth="1"/>
    <col min="14" max="16384" width="9" style="167"/>
  </cols>
  <sheetData>
    <row r="1" spans="1:25" s="4" customFormat="1" ht="36" customHeight="1">
      <c r="A1" s="646" t="s">
        <v>30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25" s="67" customFormat="1" ht="28.5" customHeight="1">
      <c r="A2" s="611" t="s">
        <v>0</v>
      </c>
      <c r="B2" s="611"/>
      <c r="C2" s="241">
        <f>'صفحه اصلی'!C7</f>
        <v>0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25" s="210" customFormat="1" ht="28.5" customHeight="1" thickBot="1">
      <c r="A3" s="612" t="s">
        <v>1</v>
      </c>
      <c r="B3" s="612"/>
      <c r="C3" s="64">
        <f>'صفحه اصلی'!C8</f>
        <v>0</v>
      </c>
      <c r="D3" s="65" t="s">
        <v>31</v>
      </c>
      <c r="E3" s="290"/>
      <c r="G3" s="65" t="s">
        <v>54</v>
      </c>
      <c r="H3" s="276">
        <f>'صفحه اصلی'!C9</f>
        <v>0</v>
      </c>
      <c r="I3" s="276"/>
      <c r="J3" s="276"/>
      <c r="K3" s="277"/>
      <c r="L3" s="277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s="200" customFormat="1" ht="24" customHeight="1" thickTop="1">
      <c r="A4" s="647" t="s">
        <v>12</v>
      </c>
      <c r="B4" s="642" t="s">
        <v>16</v>
      </c>
      <c r="C4" s="642" t="s">
        <v>32</v>
      </c>
      <c r="D4" s="642" t="s">
        <v>33</v>
      </c>
      <c r="E4" s="642" t="s">
        <v>34</v>
      </c>
      <c r="F4" s="642" t="s">
        <v>35</v>
      </c>
      <c r="G4" s="642" t="s">
        <v>383</v>
      </c>
      <c r="H4" s="642" t="s">
        <v>2</v>
      </c>
      <c r="I4" s="642" t="s">
        <v>68</v>
      </c>
      <c r="J4" s="642" t="s">
        <v>69</v>
      </c>
      <c r="K4" s="642" t="s">
        <v>61</v>
      </c>
      <c r="L4" s="644" t="s">
        <v>3</v>
      </c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s="200" customFormat="1" ht="24" customHeight="1" thickBot="1">
      <c r="A5" s="648"/>
      <c r="B5" s="643"/>
      <c r="C5" s="643"/>
      <c r="D5" s="643"/>
      <c r="E5" s="643"/>
      <c r="F5" s="643"/>
      <c r="G5" s="643"/>
      <c r="H5" s="643"/>
      <c r="I5" s="649"/>
      <c r="J5" s="643"/>
      <c r="K5" s="643"/>
      <c r="L5" s="645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25" ht="24" customHeight="1">
      <c r="A6" s="291">
        <f>'2'!A6</f>
        <v>0</v>
      </c>
      <c r="B6" s="243">
        <f>'2'!L6</f>
        <v>0</v>
      </c>
      <c r="C6" s="118"/>
      <c r="D6" s="278">
        <f t="shared" ref="D6:D10" si="0">SUM(E6:J6)</f>
        <v>0</v>
      </c>
      <c r="E6" s="118"/>
      <c r="F6" s="118"/>
      <c r="G6" s="118"/>
      <c r="H6" s="118"/>
      <c r="I6" s="118"/>
      <c r="J6" s="118"/>
      <c r="K6" s="118"/>
      <c r="L6" s="220"/>
      <c r="N6" s="590" t="str">
        <f>IF(C20='رو کش تراز '!K10," ","مغایرت جمع ستون تخصیص اعتبار با تخصیص اعتبار در روکش تراز")</f>
        <v xml:space="preserve"> 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91"/>
    </row>
    <row r="7" spans="1:25" ht="24" customHeight="1">
      <c r="A7" s="292">
        <f>'2'!A7</f>
        <v>0</v>
      </c>
      <c r="B7" s="243">
        <f>'2'!L7</f>
        <v>0</v>
      </c>
      <c r="C7" s="118"/>
      <c r="D7" s="278">
        <f t="shared" si="0"/>
        <v>0</v>
      </c>
      <c r="E7" s="118"/>
      <c r="F7" s="118"/>
      <c r="G7" s="118"/>
      <c r="H7" s="118"/>
      <c r="I7" s="118"/>
      <c r="J7" s="118"/>
      <c r="K7" s="118"/>
      <c r="L7" s="220"/>
      <c r="N7" s="590" t="str">
        <f>IF(D20='رو کش تراز '!O29," ","مغایرت جمع ستون کنترل تخصیص با کنترل تخصیص در روکش تراز")</f>
        <v xml:space="preserve"> </v>
      </c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91"/>
    </row>
    <row r="8" spans="1:25" ht="24" customHeight="1">
      <c r="A8" s="291">
        <f>'2'!A8</f>
        <v>0</v>
      </c>
      <c r="B8" s="243">
        <f>'2'!L8</f>
        <v>0</v>
      </c>
      <c r="C8" s="118"/>
      <c r="D8" s="278">
        <f t="shared" si="0"/>
        <v>0</v>
      </c>
      <c r="E8" s="118"/>
      <c r="F8" s="118"/>
      <c r="G8" s="118"/>
      <c r="H8" s="118"/>
      <c r="I8" s="118"/>
      <c r="J8" s="118"/>
      <c r="K8" s="118"/>
      <c r="L8" s="220"/>
      <c r="N8" s="590" t="str">
        <f>IF(E20='رو کش تراز '!K23+'رو کش تراز '!K24+'رو کش تراز '!K25," ","مغایرت جمع ستون هزینه با هزینه های استانی ( سایر هزینه ها ، هزینه حقوق و مزایا وهزینه های سهم دولت ) در روکش تراز")</f>
        <v xml:space="preserve"> </v>
      </c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</row>
    <row r="9" spans="1:25" ht="24" customHeight="1">
      <c r="A9" s="293">
        <f>'2'!A9</f>
        <v>0</v>
      </c>
      <c r="B9" s="243">
        <f>'2'!L9</f>
        <v>0</v>
      </c>
      <c r="C9" s="118"/>
      <c r="D9" s="278">
        <f t="shared" si="0"/>
        <v>0</v>
      </c>
      <c r="E9" s="118"/>
      <c r="F9" s="118"/>
      <c r="G9" s="118"/>
      <c r="H9" s="118"/>
      <c r="I9" s="118"/>
      <c r="J9" s="118"/>
      <c r="K9" s="118"/>
      <c r="L9" s="220"/>
      <c r="N9" s="590" t="str">
        <f>IF(F20='رو کش تراز '!K20," ","مغایرت جمع ستون پیش پرداخت با مانده پیش پرداخت استانی در روکش تراز")</f>
        <v xml:space="preserve"> </v>
      </c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91"/>
    </row>
    <row r="10" spans="1:25" ht="24" customHeight="1">
      <c r="A10" s="292">
        <f>'2'!A10</f>
        <v>0</v>
      </c>
      <c r="B10" s="243">
        <f>'2'!L10</f>
        <v>0</v>
      </c>
      <c r="C10" s="118"/>
      <c r="D10" s="278">
        <f t="shared" si="0"/>
        <v>0</v>
      </c>
      <c r="E10" s="118"/>
      <c r="F10" s="118"/>
      <c r="G10" s="118"/>
      <c r="H10" s="118"/>
      <c r="I10" s="118"/>
      <c r="J10" s="118"/>
      <c r="K10" s="118"/>
      <c r="L10" s="220"/>
      <c r="N10" s="590" t="str">
        <f>IF(H20='رو کش تراز '!K21," ","مغایرت جمع ستون علی الحساب با مانده علی الحساب استانی در روکش تراز")</f>
        <v xml:space="preserve"> </v>
      </c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</row>
    <row r="11" spans="1:25" ht="24" customHeight="1">
      <c r="A11" s="292">
        <f>'2'!A11</f>
        <v>0</v>
      </c>
      <c r="B11" s="243">
        <f>'2'!L11</f>
        <v>0</v>
      </c>
      <c r="C11" s="118"/>
      <c r="D11" s="278">
        <f t="shared" ref="D11:D19" si="1">SUM(E11:J11)</f>
        <v>0</v>
      </c>
      <c r="E11" s="118"/>
      <c r="F11" s="118"/>
      <c r="G11" s="118"/>
      <c r="H11" s="118"/>
      <c r="I11" s="118"/>
      <c r="J11" s="118"/>
      <c r="K11" s="118"/>
      <c r="L11" s="220"/>
      <c r="N11" s="590" t="str">
        <f>IF(K20+L20='رو کش تراز '!K16," ","مغایرت جمع ستون واریزی به خزانه با مانده بانک پرداخت اعتبارات استانی در روکش تراز")</f>
        <v xml:space="preserve"> </v>
      </c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</row>
    <row r="12" spans="1:25" ht="24" customHeight="1">
      <c r="A12" s="292">
        <f>'2'!A12</f>
        <v>0</v>
      </c>
      <c r="B12" s="243">
        <f>'2'!L12</f>
        <v>0</v>
      </c>
      <c r="C12" s="118"/>
      <c r="D12" s="278">
        <f t="shared" si="1"/>
        <v>0</v>
      </c>
      <c r="E12" s="118"/>
      <c r="F12" s="118"/>
      <c r="G12" s="118"/>
      <c r="H12" s="118"/>
      <c r="I12" s="118"/>
      <c r="J12" s="118"/>
      <c r="K12" s="118"/>
      <c r="L12" s="220"/>
      <c r="N12" s="590"/>
      <c r="O12" s="590"/>
      <c r="P12" s="590"/>
      <c r="Q12" s="590"/>
      <c r="R12" s="590"/>
      <c r="S12" s="590"/>
      <c r="T12" s="590"/>
      <c r="U12" s="91"/>
      <c r="V12" s="91"/>
      <c r="W12" s="91"/>
      <c r="X12" s="91"/>
      <c r="Y12" s="91"/>
    </row>
    <row r="13" spans="1:25" ht="24" customHeight="1">
      <c r="A13" s="292">
        <f>'2'!A13</f>
        <v>0</v>
      </c>
      <c r="B13" s="243">
        <f>'2'!L13</f>
        <v>0</v>
      </c>
      <c r="C13" s="118"/>
      <c r="D13" s="278">
        <f t="shared" si="1"/>
        <v>0</v>
      </c>
      <c r="E13" s="118"/>
      <c r="F13" s="118"/>
      <c r="G13" s="118"/>
      <c r="H13" s="118"/>
      <c r="I13" s="118"/>
      <c r="J13" s="118"/>
      <c r="K13" s="118"/>
      <c r="L13" s="220"/>
      <c r="N13" s="187"/>
      <c r="O13" s="187"/>
      <c r="P13" s="187"/>
      <c r="Q13" s="187"/>
      <c r="R13" s="187"/>
      <c r="S13" s="187"/>
      <c r="T13" s="187"/>
      <c r="U13" s="91"/>
      <c r="V13" s="91"/>
      <c r="W13" s="91"/>
      <c r="X13" s="91"/>
      <c r="Y13" s="91"/>
    </row>
    <row r="14" spans="1:25" ht="24" customHeight="1">
      <c r="A14" s="292">
        <f>'2'!A14</f>
        <v>0</v>
      </c>
      <c r="B14" s="243">
        <f>'2'!L14</f>
        <v>0</v>
      </c>
      <c r="C14" s="118"/>
      <c r="D14" s="278">
        <f t="shared" si="1"/>
        <v>0</v>
      </c>
      <c r="E14" s="118"/>
      <c r="F14" s="118"/>
      <c r="G14" s="118"/>
      <c r="H14" s="118"/>
      <c r="I14" s="118"/>
      <c r="J14" s="118"/>
      <c r="K14" s="118"/>
      <c r="L14" s="220"/>
      <c r="N14" s="187"/>
      <c r="O14" s="187"/>
      <c r="P14" s="187"/>
      <c r="Q14" s="187"/>
      <c r="R14" s="187"/>
      <c r="S14" s="187"/>
      <c r="T14" s="187"/>
      <c r="U14" s="91"/>
      <c r="V14" s="91"/>
      <c r="W14" s="91"/>
      <c r="X14" s="91"/>
      <c r="Y14" s="91"/>
    </row>
    <row r="15" spans="1:25" ht="24" customHeight="1">
      <c r="A15" s="292">
        <f>'2'!A15</f>
        <v>0</v>
      </c>
      <c r="B15" s="243">
        <f>'2'!L15</f>
        <v>0</v>
      </c>
      <c r="C15" s="118"/>
      <c r="D15" s="278">
        <f t="shared" si="1"/>
        <v>0</v>
      </c>
      <c r="E15" s="118"/>
      <c r="F15" s="118"/>
      <c r="G15" s="118"/>
      <c r="H15" s="118"/>
      <c r="I15" s="118"/>
      <c r="J15" s="118"/>
      <c r="K15" s="118"/>
      <c r="L15" s="220"/>
      <c r="N15" s="187"/>
      <c r="O15" s="187"/>
      <c r="P15" s="187"/>
      <c r="Q15" s="187"/>
      <c r="R15" s="187"/>
      <c r="S15" s="187"/>
      <c r="T15" s="187"/>
      <c r="U15" s="91"/>
      <c r="V15" s="91"/>
      <c r="W15" s="91"/>
      <c r="X15" s="91"/>
      <c r="Y15" s="91"/>
    </row>
    <row r="16" spans="1:25" ht="24" customHeight="1">
      <c r="A16" s="292">
        <f>'2'!A16</f>
        <v>0</v>
      </c>
      <c r="B16" s="243">
        <f>'2'!L16</f>
        <v>0</v>
      </c>
      <c r="C16" s="118"/>
      <c r="D16" s="278">
        <f t="shared" si="1"/>
        <v>0</v>
      </c>
      <c r="E16" s="118"/>
      <c r="F16" s="118"/>
      <c r="G16" s="118"/>
      <c r="H16" s="118"/>
      <c r="I16" s="118"/>
      <c r="J16" s="118"/>
      <c r="K16" s="118"/>
      <c r="L16" s="220"/>
      <c r="N16" s="468"/>
      <c r="O16" s="468"/>
      <c r="P16" s="468"/>
      <c r="Q16" s="468"/>
      <c r="R16" s="468"/>
      <c r="S16" s="468"/>
      <c r="T16" s="468"/>
      <c r="U16" s="91"/>
      <c r="V16" s="91"/>
      <c r="W16" s="91"/>
      <c r="X16" s="91"/>
      <c r="Y16" s="91"/>
    </row>
    <row r="17" spans="1:25" ht="24" customHeight="1">
      <c r="A17" s="292">
        <f>'2'!A17</f>
        <v>0</v>
      </c>
      <c r="B17" s="243">
        <f>'2'!L17</f>
        <v>0</v>
      </c>
      <c r="C17" s="118"/>
      <c r="D17" s="278">
        <f t="shared" si="1"/>
        <v>0</v>
      </c>
      <c r="E17" s="118"/>
      <c r="F17" s="118"/>
      <c r="G17" s="118"/>
      <c r="H17" s="118"/>
      <c r="I17" s="118"/>
      <c r="J17" s="118"/>
      <c r="K17" s="118"/>
      <c r="L17" s="220"/>
      <c r="N17" s="468"/>
      <c r="O17" s="468"/>
      <c r="P17" s="468"/>
      <c r="Q17" s="468"/>
      <c r="R17" s="468"/>
      <c r="S17" s="468"/>
      <c r="T17" s="468"/>
      <c r="U17" s="91"/>
      <c r="V17" s="91"/>
      <c r="W17" s="91"/>
      <c r="X17" s="91"/>
      <c r="Y17" s="91"/>
    </row>
    <row r="18" spans="1:25" ht="24" customHeight="1">
      <c r="A18" s="292">
        <f>'2'!A18</f>
        <v>0</v>
      </c>
      <c r="B18" s="243">
        <f>'2'!L18</f>
        <v>0</v>
      </c>
      <c r="C18" s="118"/>
      <c r="D18" s="278">
        <f t="shared" si="1"/>
        <v>0</v>
      </c>
      <c r="E18" s="118"/>
      <c r="F18" s="118"/>
      <c r="G18" s="118"/>
      <c r="H18" s="118"/>
      <c r="I18" s="118"/>
      <c r="J18" s="118"/>
      <c r="K18" s="118"/>
      <c r="L18" s="220"/>
      <c r="N18" s="187"/>
      <c r="O18" s="187"/>
      <c r="P18" s="187"/>
      <c r="Q18" s="187"/>
      <c r="R18" s="187"/>
      <c r="S18" s="187"/>
      <c r="T18" s="187"/>
      <c r="U18" s="91"/>
      <c r="V18" s="91"/>
      <c r="W18" s="91"/>
      <c r="X18" s="91"/>
      <c r="Y18" s="91"/>
    </row>
    <row r="19" spans="1:25" ht="24" customHeight="1" thickBot="1">
      <c r="A19" s="292">
        <f>'2'!A19</f>
        <v>0</v>
      </c>
      <c r="B19" s="243">
        <f>'2'!L19</f>
        <v>0</v>
      </c>
      <c r="C19" s="118"/>
      <c r="D19" s="278">
        <f t="shared" si="1"/>
        <v>0</v>
      </c>
      <c r="E19" s="118"/>
      <c r="F19" s="118"/>
      <c r="G19" s="118"/>
      <c r="H19" s="118"/>
      <c r="I19" s="118"/>
      <c r="J19" s="118"/>
      <c r="K19" s="118"/>
      <c r="L19" s="220"/>
      <c r="N19" s="590"/>
      <c r="O19" s="590"/>
      <c r="P19" s="590"/>
      <c r="Q19" s="590"/>
      <c r="R19" s="590"/>
      <c r="S19" s="590"/>
      <c r="T19" s="590"/>
      <c r="U19" s="91"/>
      <c r="V19" s="91"/>
      <c r="W19" s="91"/>
      <c r="X19" s="91"/>
      <c r="Y19" s="91"/>
    </row>
    <row r="20" spans="1:25" ht="24" customHeight="1" thickBot="1">
      <c r="A20" s="280" t="s">
        <v>7</v>
      </c>
      <c r="B20" s="73">
        <f>SUM(B6:B19)</f>
        <v>0</v>
      </c>
      <c r="C20" s="79">
        <f>SUM(C6:C19)</f>
        <v>0</v>
      </c>
      <c r="D20" s="79">
        <f>SUM(D6:D19)</f>
        <v>0</v>
      </c>
      <c r="E20" s="79">
        <f>SUM(E6:E19)</f>
        <v>0</v>
      </c>
      <c r="F20" s="79">
        <f t="shared" ref="F20:L20" si="2">SUM(F6:F19)</f>
        <v>0</v>
      </c>
      <c r="G20" s="79">
        <f t="shared" si="2"/>
        <v>0</v>
      </c>
      <c r="H20" s="79">
        <f t="shared" si="2"/>
        <v>0</v>
      </c>
      <c r="I20" s="79">
        <f t="shared" si="2"/>
        <v>0</v>
      </c>
      <c r="J20" s="79">
        <f t="shared" si="2"/>
        <v>0</v>
      </c>
      <c r="K20" s="79">
        <f t="shared" si="2"/>
        <v>0</v>
      </c>
      <c r="L20" s="238">
        <f t="shared" si="2"/>
        <v>0</v>
      </c>
      <c r="M20" s="267"/>
      <c r="N20" s="590"/>
      <c r="O20" s="590"/>
      <c r="P20" s="590"/>
      <c r="Q20" s="590"/>
      <c r="R20" s="590"/>
      <c r="S20" s="590"/>
      <c r="T20" s="590"/>
      <c r="U20" s="91"/>
      <c r="V20" s="91"/>
      <c r="W20" s="91"/>
      <c r="X20" s="91"/>
      <c r="Y20" s="91"/>
    </row>
    <row r="21" spans="1:25" s="200" customFormat="1" ht="38.25" customHeight="1" thickTop="1">
      <c r="A21" s="589" t="s">
        <v>21</v>
      </c>
      <c r="B21" s="589"/>
      <c r="C21" s="196">
        <f>'صفحه اصلی'!C10</f>
        <v>0</v>
      </c>
      <c r="D21" s="589" t="s">
        <v>8</v>
      </c>
      <c r="E21" s="589"/>
      <c r="F21" s="196">
        <f>'صفحه اصلی'!C11</f>
        <v>0</v>
      </c>
      <c r="G21" s="197"/>
      <c r="H21" s="198" t="s">
        <v>9</v>
      </c>
      <c r="I21" s="581">
        <f>'صفحه اصلی'!C12</f>
        <v>0</v>
      </c>
      <c r="J21" s="581"/>
      <c r="K21" s="199" t="s">
        <v>10</v>
      </c>
      <c r="L21" s="281">
        <f>'صفحه اصلی'!C13</f>
        <v>0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26.25" customHeight="1" thickBot="1">
      <c r="A22" s="587" t="s">
        <v>19</v>
      </c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266" t="s">
        <v>37</v>
      </c>
    </row>
    <row r="23" spans="1:25" ht="30.75" customHeight="1" thickTop="1" thickBot="1">
      <c r="A23" s="582" t="s">
        <v>402</v>
      </c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4"/>
    </row>
    <row r="24" spans="1:25" ht="26.25" customHeight="1" thickBot="1">
      <c r="A24" s="203" t="s">
        <v>11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6"/>
    </row>
    <row r="25" spans="1:25" ht="21" thickTop="1"/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30">
    <mergeCell ref="N6:X6"/>
    <mergeCell ref="N7:X7"/>
    <mergeCell ref="N8:Y8"/>
    <mergeCell ref="N9:X9"/>
    <mergeCell ref="N10:Y10"/>
    <mergeCell ref="N12:T12"/>
    <mergeCell ref="N19:T19"/>
    <mergeCell ref="N20:T20"/>
    <mergeCell ref="N11:Y11"/>
    <mergeCell ref="A1:L1"/>
    <mergeCell ref="A2:B2"/>
    <mergeCell ref="A3:B3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A22:K22"/>
    <mergeCell ref="A23:L23"/>
    <mergeCell ref="B24:L24"/>
    <mergeCell ref="H4:H5"/>
    <mergeCell ref="K4:K5"/>
    <mergeCell ref="L4:L5"/>
    <mergeCell ref="A21:B21"/>
    <mergeCell ref="D21:E21"/>
    <mergeCell ref="I21:J21"/>
  </mergeCells>
  <pageMargins left="0.25" right="0.34" top="0.3" bottom="0.28000000000000003" header="0.3" footer="0.3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S18"/>
  <sheetViews>
    <sheetView showGridLines="0" rightToLeft="1" view="pageBreakPreview" zoomScale="80" zoomScaleNormal="90" zoomScaleSheetLayoutView="80" workbookViewId="0">
      <selection activeCell="G32" sqref="G32"/>
    </sheetView>
  </sheetViews>
  <sheetFormatPr defaultRowHeight="14.25"/>
  <cols>
    <col min="1" max="1" width="6.625" style="3" customWidth="1"/>
    <col min="2" max="5" width="14.75" style="3" customWidth="1"/>
    <col min="6" max="6" width="11.625" style="3" customWidth="1"/>
    <col min="7" max="7" width="9.625" style="3" customWidth="1"/>
    <col min="8" max="8" width="11.75" style="3" customWidth="1"/>
    <col min="9" max="9" width="8.375" style="3" customWidth="1"/>
    <col min="10" max="10" width="7.875" style="3" customWidth="1"/>
    <col min="11" max="11" width="11" style="3" customWidth="1"/>
    <col min="12" max="12" width="9.375" style="3" customWidth="1"/>
    <col min="13" max="13" width="3.875" style="3" customWidth="1"/>
    <col min="14" max="16384" width="9" style="3"/>
  </cols>
  <sheetData>
    <row r="1" spans="1:19" s="21" customFormat="1" ht="38.25" customHeight="1">
      <c r="A1" s="646" t="s">
        <v>40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9" s="6" customFormat="1" ht="30" customHeight="1">
      <c r="A2" s="662" t="s">
        <v>0</v>
      </c>
      <c r="B2" s="662"/>
      <c r="C2" s="5">
        <f>'صفحه اصلی'!C7</f>
        <v>0</v>
      </c>
      <c r="D2" s="5"/>
      <c r="E2" s="5"/>
      <c r="F2" s="5"/>
      <c r="G2" s="5"/>
      <c r="H2" s="5"/>
      <c r="I2" s="5"/>
      <c r="J2" s="5"/>
      <c r="K2" s="5"/>
      <c r="L2" s="5"/>
    </row>
    <row r="3" spans="1:19" s="6" customFormat="1" ht="31.5" customHeight="1" thickBot="1">
      <c r="A3" s="663" t="s">
        <v>1</v>
      </c>
      <c r="B3" s="663"/>
      <c r="C3" s="7">
        <f>'صفحه اصلی'!C8</f>
        <v>0</v>
      </c>
      <c r="D3" s="8" t="s">
        <v>31</v>
      </c>
      <c r="E3" s="22"/>
      <c r="F3" s="41"/>
      <c r="G3" s="8" t="s">
        <v>53</v>
      </c>
      <c r="H3" s="7">
        <f>'صفحه اصلی'!C9</f>
        <v>0</v>
      </c>
      <c r="I3" s="7"/>
      <c r="J3" s="7"/>
      <c r="K3" s="7"/>
      <c r="L3" s="37"/>
      <c r="N3" s="171"/>
      <c r="O3" s="171"/>
      <c r="P3" s="171"/>
      <c r="Q3" s="171"/>
      <c r="R3" s="171"/>
      <c r="S3" s="171"/>
    </row>
    <row r="4" spans="1:19" s="9" customFormat="1" ht="24" customHeight="1" thickTop="1">
      <c r="A4" s="664" t="s">
        <v>23</v>
      </c>
      <c r="B4" s="656" t="s">
        <v>16</v>
      </c>
      <c r="C4" s="656" t="s">
        <v>32</v>
      </c>
      <c r="D4" s="656" t="s">
        <v>33</v>
      </c>
      <c r="E4" s="666" t="s">
        <v>34</v>
      </c>
      <c r="F4" s="666" t="s">
        <v>35</v>
      </c>
      <c r="G4" s="656" t="s">
        <v>384</v>
      </c>
      <c r="H4" s="656" t="s">
        <v>2</v>
      </c>
      <c r="I4" s="658" t="s">
        <v>68</v>
      </c>
      <c r="J4" s="658" t="s">
        <v>69</v>
      </c>
      <c r="K4" s="658" t="s">
        <v>61</v>
      </c>
      <c r="L4" s="660" t="s">
        <v>3</v>
      </c>
      <c r="N4" s="172"/>
      <c r="O4" s="172"/>
      <c r="P4" s="172"/>
      <c r="Q4" s="172"/>
      <c r="R4" s="172"/>
      <c r="S4" s="172"/>
    </row>
    <row r="5" spans="1:19" s="9" customFormat="1" ht="24" customHeight="1" thickBot="1">
      <c r="A5" s="665"/>
      <c r="B5" s="657"/>
      <c r="C5" s="657"/>
      <c r="D5" s="657"/>
      <c r="E5" s="667"/>
      <c r="F5" s="667"/>
      <c r="G5" s="657"/>
      <c r="H5" s="657"/>
      <c r="I5" s="657"/>
      <c r="J5" s="659"/>
      <c r="K5" s="659"/>
      <c r="L5" s="661"/>
      <c r="N5" s="172"/>
      <c r="O5" s="172"/>
      <c r="P5" s="172"/>
      <c r="Q5" s="172"/>
      <c r="R5" s="172"/>
      <c r="S5" s="172"/>
    </row>
    <row r="6" spans="1:19" ht="29.25" customHeight="1">
      <c r="A6" s="51" t="s">
        <v>41</v>
      </c>
      <c r="B6" s="49">
        <f>' 3'!L6</f>
        <v>0</v>
      </c>
      <c r="C6" s="103"/>
      <c r="D6" s="111">
        <f>SUM(E6:J6)</f>
        <v>0</v>
      </c>
      <c r="E6" s="103"/>
      <c r="F6" s="103"/>
      <c r="G6" s="103"/>
      <c r="H6" s="103"/>
      <c r="I6" s="103"/>
      <c r="J6" s="103"/>
      <c r="K6" s="103"/>
      <c r="L6" s="394"/>
      <c r="N6" s="602"/>
      <c r="O6" s="602"/>
      <c r="P6" s="602"/>
      <c r="Q6" s="602"/>
      <c r="R6" s="602"/>
      <c r="S6" s="602"/>
    </row>
    <row r="7" spans="1:19" ht="29.25" customHeight="1">
      <c r="A7" s="57" t="s">
        <v>42</v>
      </c>
      <c r="B7" s="39">
        <f>' 3'!L7</f>
        <v>0</v>
      </c>
      <c r="C7" s="104"/>
      <c r="D7" s="109">
        <f t="shared" ref="D7:D12" si="0">SUM(E7:J7)</f>
        <v>0</v>
      </c>
      <c r="E7" s="104"/>
      <c r="F7" s="104"/>
      <c r="G7" s="104"/>
      <c r="H7" s="104"/>
      <c r="I7" s="104"/>
      <c r="J7" s="104"/>
      <c r="K7" s="104"/>
      <c r="L7" s="395"/>
      <c r="N7" s="602" t="str">
        <f>IF(C13='4استانی '!C20," ","مغایرت جمع ستون تخصیص اعتبار با تخصیص اعتبار فرم 4 استانی")</f>
        <v xml:space="preserve"> </v>
      </c>
      <c r="O7" s="602"/>
      <c r="P7" s="602"/>
      <c r="Q7" s="602"/>
      <c r="R7" s="602"/>
      <c r="S7" s="602"/>
    </row>
    <row r="8" spans="1:19" ht="29.25" customHeight="1">
      <c r="A8" s="57" t="s">
        <v>43</v>
      </c>
      <c r="B8" s="26">
        <f>' 3'!L8</f>
        <v>0</v>
      </c>
      <c r="C8" s="104"/>
      <c r="D8" s="109">
        <f t="shared" si="0"/>
        <v>0</v>
      </c>
      <c r="E8" s="104"/>
      <c r="F8" s="104"/>
      <c r="G8" s="104"/>
      <c r="H8" s="104"/>
      <c r="I8" s="104"/>
      <c r="J8" s="104"/>
      <c r="K8" s="104"/>
      <c r="L8" s="395"/>
      <c r="N8" s="602" t="str">
        <f>IF(D13='4استانی '!D20," ","مغایرت جمع ستون کنترل تخصیص با کنترل تخصیص فرم 4 استانی")</f>
        <v xml:space="preserve"> </v>
      </c>
      <c r="O8" s="602"/>
      <c r="P8" s="602"/>
      <c r="Q8" s="602"/>
      <c r="R8" s="602"/>
      <c r="S8" s="602"/>
    </row>
    <row r="9" spans="1:19" ht="29.25" customHeight="1">
      <c r="A9" s="52" t="s">
        <v>44</v>
      </c>
      <c r="B9" s="26">
        <f>' 3'!L9</f>
        <v>0</v>
      </c>
      <c r="C9" s="104"/>
      <c r="D9" s="109">
        <f t="shared" si="0"/>
        <v>0</v>
      </c>
      <c r="E9" s="186"/>
      <c r="F9" s="186"/>
      <c r="G9" s="186"/>
      <c r="H9" s="186"/>
      <c r="I9" s="186"/>
      <c r="J9" s="186"/>
      <c r="K9" s="186"/>
      <c r="L9" s="395"/>
      <c r="N9" s="602" t="str">
        <f>IF(F13='4استانی '!F20," ","مغایرت جمع ستون پیش پرداخت با پیش پرداخت در فرم 4 استانی")</f>
        <v xml:space="preserve"> </v>
      </c>
      <c r="O9" s="602"/>
      <c r="P9" s="602"/>
      <c r="Q9" s="602"/>
      <c r="R9" s="602"/>
      <c r="S9" s="602"/>
    </row>
    <row r="10" spans="1:19" ht="29.25" customHeight="1">
      <c r="A10" s="52" t="s">
        <v>45</v>
      </c>
      <c r="B10" s="38">
        <f>' 3'!L10</f>
        <v>0</v>
      </c>
      <c r="C10" s="104"/>
      <c r="D10" s="109">
        <f t="shared" si="0"/>
        <v>0</v>
      </c>
      <c r="E10" s="186"/>
      <c r="F10" s="186"/>
      <c r="G10" s="186"/>
      <c r="H10" s="186"/>
      <c r="I10" s="186"/>
      <c r="J10" s="186"/>
      <c r="K10" s="186"/>
      <c r="L10" s="395"/>
      <c r="N10" s="668" t="str">
        <f>IF(H13='4استانی '!H20," ","مغایرت جمع ستون علی الحساب با علی الحساب فرم 4 استانی")</f>
        <v xml:space="preserve"> </v>
      </c>
      <c r="O10" s="668"/>
      <c r="P10" s="668"/>
      <c r="Q10" s="668"/>
      <c r="R10" s="668"/>
      <c r="S10" s="668"/>
    </row>
    <row r="11" spans="1:19" ht="29.25" customHeight="1">
      <c r="A11" s="52" t="s">
        <v>46</v>
      </c>
      <c r="B11" s="39">
        <f>' 3'!L11</f>
        <v>0</v>
      </c>
      <c r="C11" s="104"/>
      <c r="D11" s="109">
        <f t="shared" si="0"/>
        <v>0</v>
      </c>
      <c r="E11" s="186"/>
      <c r="F11" s="186"/>
      <c r="G11" s="186"/>
      <c r="H11" s="186"/>
      <c r="I11" s="186"/>
      <c r="J11" s="186"/>
      <c r="K11" s="186"/>
      <c r="L11" s="395"/>
      <c r="N11" s="602" t="str">
        <f>IF(K13='4استانی '!K20," ","مغایرت جمع ستون واریزی به خزانه با واریزی به خزانه فرم 4 استانی")</f>
        <v xml:space="preserve"> </v>
      </c>
      <c r="O11" s="602"/>
      <c r="P11" s="602"/>
      <c r="Q11" s="602"/>
      <c r="R11" s="602"/>
      <c r="S11" s="602"/>
    </row>
    <row r="12" spans="1:19" ht="29.25" customHeight="1" thickBot="1">
      <c r="A12" s="58" t="s">
        <v>47</v>
      </c>
      <c r="B12" s="27">
        <f>' 3'!L12</f>
        <v>0</v>
      </c>
      <c r="C12" s="108"/>
      <c r="D12" s="110">
        <f t="shared" si="0"/>
        <v>0</v>
      </c>
      <c r="E12" s="186"/>
      <c r="F12" s="186"/>
      <c r="G12" s="186"/>
      <c r="H12" s="186"/>
      <c r="I12" s="186"/>
      <c r="J12" s="186"/>
      <c r="K12" s="186"/>
      <c r="L12" s="395"/>
      <c r="N12" s="602" t="str">
        <f>IF(L13='4استانی '!L20," ","مغایرت جمع ستون انتقالی با انتقالی فرم 4 استانی")</f>
        <v xml:space="preserve"> </v>
      </c>
      <c r="O12" s="602"/>
      <c r="P12" s="602"/>
      <c r="Q12" s="602"/>
      <c r="R12" s="602"/>
      <c r="S12" s="602"/>
    </row>
    <row r="13" spans="1:19" ht="33" customHeight="1" thickBot="1">
      <c r="A13" s="55" t="s">
        <v>7</v>
      </c>
      <c r="B13" s="59">
        <f t="shared" ref="B13:E13" si="1">SUM(B5:B12)</f>
        <v>0</v>
      </c>
      <c r="C13" s="59">
        <f t="shared" si="1"/>
        <v>0</v>
      </c>
      <c r="D13" s="59">
        <f t="shared" si="1"/>
        <v>0</v>
      </c>
      <c r="E13" s="59">
        <f t="shared" si="1"/>
        <v>0</v>
      </c>
      <c r="F13" s="59">
        <f t="shared" ref="F13" si="2">SUM(F5:F12)</f>
        <v>0</v>
      </c>
      <c r="G13" s="59">
        <f t="shared" ref="G13" si="3">SUM(G5:G12)</f>
        <v>0</v>
      </c>
      <c r="H13" s="59">
        <f t="shared" ref="H13" si="4">SUM(H5:H12)</f>
        <v>0</v>
      </c>
      <c r="I13" s="59">
        <f t="shared" ref="I13" si="5">SUM(I5:I12)</f>
        <v>0</v>
      </c>
      <c r="J13" s="59">
        <f t="shared" ref="J13" si="6">SUM(J5:J12)</f>
        <v>0</v>
      </c>
      <c r="K13" s="59">
        <f t="shared" ref="K13" si="7">SUM(K5:K12)</f>
        <v>0</v>
      </c>
      <c r="L13" s="44">
        <f t="shared" ref="L13" si="8">SUM(L5:L12)</f>
        <v>0</v>
      </c>
      <c r="M13" s="393"/>
      <c r="N13" s="602"/>
      <c r="O13" s="602"/>
      <c r="P13" s="602"/>
      <c r="Q13" s="602"/>
      <c r="R13" s="602"/>
      <c r="S13" s="602"/>
    </row>
    <row r="14" spans="1:19" s="48" customFormat="1" ht="42.75" customHeight="1" thickTop="1">
      <c r="A14" s="652" t="s">
        <v>21</v>
      </c>
      <c r="B14" s="652"/>
      <c r="C14" s="121">
        <f>'صفحه اصلی'!C10</f>
        <v>0</v>
      </c>
      <c r="D14" s="652" t="s">
        <v>8</v>
      </c>
      <c r="E14" s="652"/>
      <c r="F14" s="45">
        <f>'صفحه اصلی'!C11</f>
        <v>0</v>
      </c>
      <c r="G14" s="45"/>
      <c r="H14" s="46" t="s">
        <v>9</v>
      </c>
      <c r="I14" s="56">
        <f>'صفحه اصلی'!C12</f>
        <v>0</v>
      </c>
      <c r="J14" s="46"/>
      <c r="K14" s="47" t="s">
        <v>10</v>
      </c>
      <c r="L14" s="54">
        <f>'صفحه اصلی'!C13</f>
        <v>0</v>
      </c>
      <c r="N14" s="94"/>
      <c r="O14" s="94"/>
      <c r="P14" s="94"/>
      <c r="Q14" s="94"/>
      <c r="R14" s="94"/>
      <c r="S14" s="94"/>
    </row>
    <row r="15" spans="1:19" ht="30" customHeight="1" thickBot="1">
      <c r="A15" s="587" t="s">
        <v>19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25" t="s">
        <v>39</v>
      </c>
    </row>
    <row r="16" spans="1:19" ht="30.75" customHeight="1" thickTop="1" thickBot="1">
      <c r="A16" s="653" t="s">
        <v>391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5"/>
    </row>
    <row r="17" spans="1:12" ht="28.5" customHeight="1" thickBot="1">
      <c r="A17" s="20" t="s">
        <v>11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  <c r="L17" s="651"/>
    </row>
    <row r="18" spans="1:12" ht="15" thickTop="1"/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28">
    <mergeCell ref="N11:S11"/>
    <mergeCell ref="N12:S12"/>
    <mergeCell ref="N13:S13"/>
    <mergeCell ref="N6:S6"/>
    <mergeCell ref="N7:S7"/>
    <mergeCell ref="N8:S8"/>
    <mergeCell ref="N9:S9"/>
    <mergeCell ref="N10:S10"/>
    <mergeCell ref="A1:L1"/>
    <mergeCell ref="A2:B2"/>
    <mergeCell ref="A3:B3"/>
    <mergeCell ref="A4:A5"/>
    <mergeCell ref="B4:B5"/>
    <mergeCell ref="C4:C5"/>
    <mergeCell ref="D4:D5"/>
    <mergeCell ref="E4:E5"/>
    <mergeCell ref="F4:F5"/>
    <mergeCell ref="I4:I5"/>
    <mergeCell ref="J4:J5"/>
    <mergeCell ref="G4:G5"/>
    <mergeCell ref="B17:L17"/>
    <mergeCell ref="A14:B14"/>
    <mergeCell ref="D14:E14"/>
    <mergeCell ref="A16:L16"/>
    <mergeCell ref="H4:H5"/>
    <mergeCell ref="K4:K5"/>
    <mergeCell ref="L4:L5"/>
    <mergeCell ref="A15:K15"/>
  </mergeCells>
  <pageMargins left="0.25" right="0.25" top="0.75" bottom="0.75" header="0.3" footer="0.3"/>
  <pageSetup paperSize="9" scale="9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0000"/>
  </sheetPr>
  <dimension ref="A1:L23"/>
  <sheetViews>
    <sheetView showGridLines="0" rightToLeft="1" tabSelected="1" view="pageBreakPreview" zoomScale="70" zoomScaleNormal="80" zoomScaleSheetLayoutView="70" workbookViewId="0">
      <selection activeCell="C6" sqref="C6"/>
    </sheetView>
  </sheetViews>
  <sheetFormatPr defaultRowHeight="14.25"/>
  <cols>
    <col min="1" max="1" width="8.125" style="3" customWidth="1"/>
    <col min="2" max="2" width="16.625" style="3" customWidth="1"/>
    <col min="3" max="4" width="13.875" style="3" customWidth="1"/>
    <col min="5" max="5" width="12.625" style="3" customWidth="1"/>
    <col min="6" max="8" width="9.875" style="3" customWidth="1"/>
    <col min="9" max="10" width="12.875" style="3" customWidth="1"/>
    <col min="11" max="11" width="9.125" style="3" customWidth="1"/>
    <col min="12" max="12" width="17.375" style="3" customWidth="1"/>
  </cols>
  <sheetData>
    <row r="1" spans="1:12" s="396" customFormat="1" ht="30" customHeight="1">
      <c r="A1" s="385"/>
      <c r="B1" s="385"/>
      <c r="C1" s="626" t="s">
        <v>22</v>
      </c>
      <c r="D1" s="626"/>
      <c r="E1" s="626"/>
      <c r="F1" s="626"/>
      <c r="G1" s="626"/>
      <c r="H1" s="626"/>
      <c r="I1" s="626"/>
      <c r="J1" s="626"/>
      <c r="K1" s="385"/>
      <c r="L1" s="361"/>
    </row>
    <row r="2" spans="1:12" s="396" customFormat="1" ht="23.25" customHeight="1">
      <c r="A2" s="591" t="s">
        <v>0</v>
      </c>
      <c r="B2" s="591"/>
      <c r="C2" s="362">
        <f>'صفحه اصلی'!C7</f>
        <v>0</v>
      </c>
      <c r="D2" s="362"/>
      <c r="E2" s="362"/>
      <c r="F2" s="362"/>
      <c r="G2" s="362"/>
      <c r="H2" s="362"/>
      <c r="I2" s="362"/>
      <c r="J2" s="362"/>
      <c r="K2" s="362"/>
      <c r="L2" s="362"/>
    </row>
    <row r="3" spans="1:12" s="397" customFormat="1" ht="24.75" customHeight="1" thickBot="1">
      <c r="A3" s="592" t="s">
        <v>1</v>
      </c>
      <c r="B3" s="592"/>
      <c r="C3" s="359">
        <f>'صفحه اصلی'!C8</f>
        <v>0</v>
      </c>
      <c r="D3" s="366" t="s">
        <v>31</v>
      </c>
      <c r="E3" s="324"/>
      <c r="G3" s="366" t="s">
        <v>54</v>
      </c>
      <c r="H3" s="398">
        <f>'صفحه اصلی'!C9</f>
        <v>0</v>
      </c>
      <c r="I3" s="398"/>
      <c r="J3" s="398"/>
      <c r="K3" s="399"/>
      <c r="L3" s="399"/>
    </row>
    <row r="4" spans="1:12" ht="30.75" customHeight="1" thickTop="1" thickBot="1">
      <c r="A4" s="613" t="s">
        <v>12</v>
      </c>
      <c r="B4" s="615" t="s">
        <v>20</v>
      </c>
      <c r="C4" s="618" t="s">
        <v>13</v>
      </c>
      <c r="D4" s="619"/>
      <c r="E4" s="619"/>
      <c r="F4" s="619"/>
      <c r="G4" s="619"/>
      <c r="H4" s="620"/>
      <c r="I4" s="621" t="s">
        <v>14</v>
      </c>
      <c r="J4" s="622"/>
      <c r="K4" s="615" t="s">
        <v>15</v>
      </c>
      <c r="L4" s="623" t="s">
        <v>16</v>
      </c>
    </row>
    <row r="5" spans="1:12" ht="30.75" customHeight="1" thickBot="1">
      <c r="A5" s="614"/>
      <c r="B5" s="616"/>
      <c r="C5" s="106"/>
      <c r="D5" s="106"/>
      <c r="E5" s="107"/>
      <c r="F5" s="107"/>
      <c r="G5" s="107"/>
      <c r="H5" s="107"/>
      <c r="I5" s="10" t="s">
        <v>17</v>
      </c>
      <c r="J5" s="10" t="s">
        <v>18</v>
      </c>
      <c r="K5" s="616"/>
      <c r="L5" s="624"/>
    </row>
    <row r="6" spans="1:12" ht="22.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1">
        <f t="shared" ref="L6:L17" si="0">SUM(B6:I6)-(J6+K6)</f>
        <v>0</v>
      </c>
    </row>
    <row r="7" spans="1:12" ht="22.5">
      <c r="A7" s="105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1">
        <f t="shared" si="0"/>
        <v>0</v>
      </c>
    </row>
    <row r="8" spans="1:12" ht="22.5">
      <c r="A8" s="105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2">
        <f t="shared" si="0"/>
        <v>0</v>
      </c>
    </row>
    <row r="9" spans="1:12" ht="22.5">
      <c r="A9" s="105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3">
        <f t="shared" si="0"/>
        <v>0</v>
      </c>
    </row>
    <row r="10" spans="1:12" ht="22.5">
      <c r="A10" s="105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3">
        <f t="shared" si="0"/>
        <v>0</v>
      </c>
    </row>
    <row r="11" spans="1:12" ht="22.5">
      <c r="A11" s="10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3">
        <f t="shared" si="0"/>
        <v>0</v>
      </c>
    </row>
    <row r="12" spans="1:12" ht="22.5">
      <c r="A12" s="105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3">
        <f t="shared" si="0"/>
        <v>0</v>
      </c>
    </row>
    <row r="13" spans="1:12" ht="22.5">
      <c r="A13" s="105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3">
        <f t="shared" ref="L13:L16" si="1">SUM(B13:I13)-(J13+K13)</f>
        <v>0</v>
      </c>
    </row>
    <row r="14" spans="1:12" ht="22.5">
      <c r="A14" s="105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3">
        <f t="shared" si="1"/>
        <v>0</v>
      </c>
    </row>
    <row r="15" spans="1:12" ht="22.5">
      <c r="A15" s="105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3">
        <f t="shared" si="1"/>
        <v>0</v>
      </c>
    </row>
    <row r="16" spans="1:12" ht="22.5">
      <c r="A16" s="105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3">
        <f t="shared" si="1"/>
        <v>0</v>
      </c>
    </row>
    <row r="17" spans="1:12" ht="23.25" thickBot="1">
      <c r="A17" s="105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4">
        <f t="shared" si="0"/>
        <v>0</v>
      </c>
    </row>
    <row r="18" spans="1:12" ht="27" customHeight="1" thickBot="1">
      <c r="A18" s="15" t="s">
        <v>7</v>
      </c>
      <c r="B18" s="16">
        <f t="shared" ref="B18:L18" si="2">SUM(B6:B17)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44">
        <f t="shared" si="2"/>
        <v>0</v>
      </c>
    </row>
    <row r="19" spans="1:12" s="335" customFormat="1" ht="36" thickTop="1">
      <c r="A19" s="609" t="s">
        <v>21</v>
      </c>
      <c r="B19" s="609"/>
      <c r="C19" s="380">
        <f>'صفحه اصلی'!C10</f>
        <v>0</v>
      </c>
      <c r="D19" s="610" t="s">
        <v>8</v>
      </c>
      <c r="E19" s="610"/>
      <c r="F19" s="605">
        <f>'صفحه اصلی'!C11</f>
        <v>0</v>
      </c>
      <c r="G19" s="605"/>
      <c r="H19" s="381" t="s">
        <v>9</v>
      </c>
      <c r="I19" s="382">
        <f>'صفحه اصلی'!C12</f>
        <v>0</v>
      </c>
      <c r="J19" s="606" t="s">
        <v>10</v>
      </c>
      <c r="K19" s="606"/>
      <c r="L19" s="382">
        <f>'صفحه اصلی'!C13</f>
        <v>0</v>
      </c>
    </row>
    <row r="20" spans="1:12" s="335" customFormat="1" ht="28.5" customHeight="1" thickBot="1">
      <c r="A20" s="617" t="s">
        <v>19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357" t="s">
        <v>411</v>
      </c>
    </row>
    <row r="21" spans="1:12" s="335" customFormat="1" ht="29.25" customHeight="1" thickTop="1" thickBot="1">
      <c r="A21" s="582" t="s">
        <v>399</v>
      </c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4"/>
    </row>
    <row r="22" spans="1:12" s="335" customFormat="1" ht="29.25" customHeight="1" thickBot="1">
      <c r="A22" s="203" t="s">
        <v>11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8"/>
    </row>
    <row r="23" spans="1:12" ht="15" thickTop="1"/>
  </sheetData>
  <sheetProtection formatCells="0" formatColumns="0" formatRows="0" insertColumns="0" insertRows="0" insertHyperlinks="0" deleteColumns="0" deleteRows="0" sort="0" autoFilter="0" pivotTables="0"/>
  <mergeCells count="16">
    <mergeCell ref="A20:K20"/>
    <mergeCell ref="A21:L21"/>
    <mergeCell ref="B22:L22"/>
    <mergeCell ref="K4:K5"/>
    <mergeCell ref="L4:L5"/>
    <mergeCell ref="A19:B19"/>
    <mergeCell ref="D19:E19"/>
    <mergeCell ref="F19:G19"/>
    <mergeCell ref="J19:K19"/>
    <mergeCell ref="C1:J1"/>
    <mergeCell ref="A2:B2"/>
    <mergeCell ref="A3:B3"/>
    <mergeCell ref="A4:A5"/>
    <mergeCell ref="B4:B5"/>
    <mergeCell ref="C4:H4"/>
    <mergeCell ref="I4:J4"/>
  </mergeCells>
  <pageMargins left="0.25" right="0.25" top="0.46" bottom="0.48" header="0.3" footer="0.3"/>
  <pageSetup paperSize="9" scale="8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00000"/>
  </sheetPr>
  <dimension ref="A1:U18"/>
  <sheetViews>
    <sheetView showGridLines="0" rightToLeft="1" view="pageBreakPreview" zoomScale="80" zoomScaleSheetLayoutView="80" zoomScalePageLayoutView="90" workbookViewId="0">
      <selection activeCell="C5" sqref="C5"/>
    </sheetView>
  </sheetViews>
  <sheetFormatPr defaultRowHeight="14.25"/>
  <cols>
    <col min="1" max="1" width="8" style="3" customWidth="1"/>
    <col min="2" max="2" width="17.875" style="3" customWidth="1"/>
    <col min="3" max="3" width="13.375" style="3" customWidth="1"/>
    <col min="4" max="4" width="13.75" style="3" customWidth="1"/>
    <col min="5" max="5" width="11.375" style="3" customWidth="1"/>
    <col min="6" max="8" width="9.125" style="3" customWidth="1"/>
    <col min="9" max="10" width="12.625" style="3" customWidth="1"/>
    <col min="11" max="11" width="8.625" style="3" customWidth="1"/>
    <col min="12" max="12" width="17.875" style="3" customWidth="1"/>
    <col min="13" max="13" width="2.25" customWidth="1"/>
  </cols>
  <sheetData>
    <row r="1" spans="1:21" s="335" customFormat="1" ht="38.25" customHeight="1">
      <c r="A1" s="1"/>
      <c r="B1" s="1"/>
      <c r="C1" s="604" t="s">
        <v>22</v>
      </c>
      <c r="D1" s="604"/>
      <c r="E1" s="604"/>
      <c r="F1" s="604"/>
      <c r="G1" s="604"/>
      <c r="H1" s="604"/>
      <c r="I1" s="604"/>
      <c r="J1" s="604"/>
      <c r="K1" s="1"/>
      <c r="L1" s="4"/>
    </row>
    <row r="2" spans="1:21" s="335" customFormat="1" ht="34.5" customHeight="1">
      <c r="A2" s="611" t="s">
        <v>0</v>
      </c>
      <c r="B2" s="611"/>
      <c r="C2" s="241">
        <f>'صفحه اصلی'!C7</f>
        <v>0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21" s="210" customFormat="1" ht="28.5" customHeight="1" thickBot="1">
      <c r="A3" s="612" t="s">
        <v>1</v>
      </c>
      <c r="B3" s="612"/>
      <c r="C3" s="359">
        <f>'صفحه اصلی'!C8</f>
        <v>0</v>
      </c>
      <c r="D3" s="356" t="s">
        <v>31</v>
      </c>
      <c r="E3" s="324"/>
      <c r="F3" s="402"/>
      <c r="G3" s="356" t="s">
        <v>54</v>
      </c>
      <c r="H3" s="276">
        <f>'صفحه اصلی'!C9</f>
        <v>0</v>
      </c>
      <c r="I3" s="276"/>
      <c r="J3" s="276"/>
      <c r="K3" s="277"/>
      <c r="L3" s="277"/>
    </row>
    <row r="4" spans="1:21" s="335" customFormat="1" ht="36.75" thickTop="1" thickBot="1">
      <c r="A4" s="635" t="s">
        <v>23</v>
      </c>
      <c r="B4" s="631" t="s">
        <v>20</v>
      </c>
      <c r="C4" s="637" t="s">
        <v>13</v>
      </c>
      <c r="D4" s="638"/>
      <c r="E4" s="638"/>
      <c r="F4" s="638"/>
      <c r="G4" s="638"/>
      <c r="H4" s="639"/>
      <c r="I4" s="640" t="s">
        <v>14</v>
      </c>
      <c r="J4" s="641"/>
      <c r="K4" s="631" t="s">
        <v>15</v>
      </c>
      <c r="L4" s="633" t="s">
        <v>16</v>
      </c>
    </row>
    <row r="5" spans="1:21" s="335" customFormat="1" ht="36" thickBot="1">
      <c r="A5" s="636"/>
      <c r="B5" s="632"/>
      <c r="C5" s="373"/>
      <c r="D5" s="373"/>
      <c r="E5" s="374"/>
      <c r="F5" s="374"/>
      <c r="G5" s="374"/>
      <c r="H5" s="374"/>
      <c r="I5" s="375" t="s">
        <v>17</v>
      </c>
      <c r="J5" s="375" t="s">
        <v>18</v>
      </c>
      <c r="K5" s="632"/>
      <c r="L5" s="634"/>
      <c r="M5" s="403"/>
    </row>
    <row r="6" spans="1:21" ht="24.75">
      <c r="A6" s="51" t="s">
        <v>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404">
        <f t="shared" ref="L6:L12" si="0">SUM(B6:I6)-(J6+K6)</f>
        <v>0</v>
      </c>
      <c r="N6" s="602" t="str">
        <f>IF(B13='2ابلاغی'!B18," ","مغایرت جمع ستون اعتبار مصوب بودجه با اعتبار مصوب بودجه فرم 2 ابلاغی")</f>
        <v xml:space="preserve"> </v>
      </c>
      <c r="O6" s="602"/>
      <c r="P6" s="602"/>
      <c r="Q6" s="602"/>
      <c r="R6" s="602"/>
      <c r="S6" s="602"/>
      <c r="T6" s="602"/>
      <c r="U6" s="602"/>
    </row>
    <row r="7" spans="1:21" ht="24.75">
      <c r="A7" s="52" t="s">
        <v>25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376">
        <f t="shared" si="0"/>
        <v>0</v>
      </c>
      <c r="N7" s="602" t="str">
        <f>IF(L13='2ابلاغی'!L18," ","مغایرت جمع ستون اعتبار اصلاحی با اعتبار اصلاحی فرم 2ابلاغی")</f>
        <v xml:space="preserve"> </v>
      </c>
      <c r="O7" s="602"/>
      <c r="P7" s="602"/>
      <c r="Q7" s="602"/>
      <c r="R7" s="602"/>
      <c r="S7" s="602"/>
      <c r="T7" s="602"/>
      <c r="U7" s="602"/>
    </row>
    <row r="8" spans="1:21" ht="24.75">
      <c r="A8" s="52" t="s">
        <v>50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376">
        <f t="shared" si="0"/>
        <v>0</v>
      </c>
    </row>
    <row r="9" spans="1:21" ht="24.75">
      <c r="A9" s="52" t="s">
        <v>26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377">
        <f t="shared" si="0"/>
        <v>0</v>
      </c>
    </row>
    <row r="10" spans="1:21" ht="24.75">
      <c r="A10" s="52" t="s">
        <v>27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376">
        <f t="shared" si="0"/>
        <v>0</v>
      </c>
    </row>
    <row r="11" spans="1:21" ht="24.75">
      <c r="A11" s="52" t="s">
        <v>28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376">
        <f t="shared" si="0"/>
        <v>0</v>
      </c>
    </row>
    <row r="12" spans="1:21" ht="25.5" thickBot="1">
      <c r="A12" s="53" t="s">
        <v>29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376">
        <f t="shared" si="0"/>
        <v>0</v>
      </c>
    </row>
    <row r="13" spans="1:21" ht="33" thickBot="1">
      <c r="A13" s="15" t="s">
        <v>7</v>
      </c>
      <c r="B13" s="379">
        <f>SUM(B6:B12)</f>
        <v>0</v>
      </c>
      <c r="C13" s="379">
        <f t="shared" ref="C13:L13" si="1">SUM(C6:C12)</f>
        <v>0</v>
      </c>
      <c r="D13" s="379">
        <f t="shared" si="1"/>
        <v>0</v>
      </c>
      <c r="E13" s="379">
        <f t="shared" si="1"/>
        <v>0</v>
      </c>
      <c r="F13" s="379">
        <f t="shared" si="1"/>
        <v>0</v>
      </c>
      <c r="G13" s="379">
        <f t="shared" si="1"/>
        <v>0</v>
      </c>
      <c r="H13" s="379">
        <f t="shared" si="1"/>
        <v>0</v>
      </c>
      <c r="I13" s="379">
        <f t="shared" si="1"/>
        <v>0</v>
      </c>
      <c r="J13" s="379">
        <f t="shared" si="1"/>
        <v>0</v>
      </c>
      <c r="K13" s="379">
        <f t="shared" si="1"/>
        <v>0</v>
      </c>
      <c r="L13" s="75">
        <f t="shared" si="1"/>
        <v>0</v>
      </c>
    </row>
    <row r="14" spans="1:21" s="335" customFormat="1" ht="36" thickTop="1">
      <c r="A14" s="669" t="s">
        <v>21</v>
      </c>
      <c r="B14" s="670"/>
      <c r="C14" s="349">
        <f>'صفحه اصلی'!C10</f>
        <v>0</v>
      </c>
      <c r="D14" s="671" t="s">
        <v>8</v>
      </c>
      <c r="E14" s="671"/>
      <c r="F14" s="672">
        <f>'صفحه اصلی'!C11</f>
        <v>0</v>
      </c>
      <c r="G14" s="672"/>
      <c r="H14" s="348" t="s">
        <v>9</v>
      </c>
      <c r="I14" s="281">
        <f>'صفحه اصلی'!C12</f>
        <v>0</v>
      </c>
      <c r="J14" s="671" t="s">
        <v>10</v>
      </c>
      <c r="K14" s="671"/>
      <c r="L14" s="281">
        <f>'صفحه اصلی'!C13</f>
        <v>0</v>
      </c>
    </row>
    <row r="15" spans="1:21" s="401" customFormat="1" ht="27.75" thickBot="1">
      <c r="A15" s="617" t="s">
        <v>19</v>
      </c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400" t="s">
        <v>51</v>
      </c>
    </row>
    <row r="16" spans="1:21" s="335" customFormat="1" ht="36.75" thickTop="1" thickBot="1">
      <c r="A16" s="582" t="s">
        <v>401</v>
      </c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4"/>
    </row>
    <row r="17" spans="1:12" s="335" customFormat="1" ht="36" thickBot="1">
      <c r="A17" s="203" t="s">
        <v>11</v>
      </c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8"/>
    </row>
    <row r="18" spans="1:12" ht="15" thickTop="1"/>
  </sheetData>
  <sheetProtection formatCells="0" formatColumns="0" formatRows="0" insertColumns="0" insertRows="0" insertHyperlinks="0" deleteColumns="0" deleteRows="0" sort="0" autoFilter="0" pivotTables="0"/>
  <mergeCells count="18">
    <mergeCell ref="A15:K15"/>
    <mergeCell ref="A16:L16"/>
    <mergeCell ref="B17:L17"/>
    <mergeCell ref="N6:U6"/>
    <mergeCell ref="N7:U7"/>
    <mergeCell ref="K4:K5"/>
    <mergeCell ref="L4:L5"/>
    <mergeCell ref="A14:B14"/>
    <mergeCell ref="D14:E14"/>
    <mergeCell ref="F14:G14"/>
    <mergeCell ref="J14:K14"/>
    <mergeCell ref="C1:J1"/>
    <mergeCell ref="A2:B2"/>
    <mergeCell ref="A3:B3"/>
    <mergeCell ref="A4:A5"/>
    <mergeCell ref="B4:B5"/>
    <mergeCell ref="C4:H4"/>
    <mergeCell ref="I4:J4"/>
  </mergeCells>
  <pageMargins left="0.25" right="0.25" top="0.47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23</vt:i4>
      </vt:variant>
    </vt:vector>
  </HeadingPairs>
  <TitlesOfParts>
    <vt:vector size="48" baseType="lpstr">
      <vt:lpstr>صفحه اصلی</vt:lpstr>
      <vt:lpstr>رو کش تراز </vt:lpstr>
      <vt:lpstr>1</vt:lpstr>
      <vt:lpstr>2</vt:lpstr>
      <vt:lpstr> 3</vt:lpstr>
      <vt:lpstr>4استانی </vt:lpstr>
      <vt:lpstr>  5 استانی</vt:lpstr>
      <vt:lpstr>2ابلاغی</vt:lpstr>
      <vt:lpstr>3 ابلاغی</vt:lpstr>
      <vt:lpstr>4ابلاغی</vt:lpstr>
      <vt:lpstr>5 ابلاغی</vt:lpstr>
      <vt:lpstr>6</vt:lpstr>
      <vt:lpstr>7</vt:lpstr>
      <vt:lpstr> 8</vt:lpstr>
      <vt:lpstr>9</vt:lpstr>
      <vt:lpstr>10</vt:lpstr>
      <vt:lpstr>11</vt:lpstr>
      <vt:lpstr>12</vt:lpstr>
      <vt:lpstr>13 استانی</vt:lpstr>
      <vt:lpstr>14استانی</vt:lpstr>
      <vt:lpstr>13 ابلاغی</vt:lpstr>
      <vt:lpstr>14ابلاغی</vt:lpstr>
      <vt:lpstr>15استانی</vt:lpstr>
      <vt:lpstr>15ابلاغی</vt:lpstr>
      <vt:lpstr>راهنما</vt:lpstr>
      <vt:lpstr>'  5 استانی'!Print_Area</vt:lpstr>
      <vt:lpstr>' 3'!Print_Area</vt:lpstr>
      <vt:lpstr>' 8'!Print_Area</vt:lpstr>
      <vt:lpstr>'1'!Print_Area</vt:lpstr>
      <vt:lpstr>'10'!Print_Area</vt:lpstr>
      <vt:lpstr>'11'!Print_Area</vt:lpstr>
      <vt:lpstr>'12'!Print_Area</vt:lpstr>
      <vt:lpstr>'13 ابلاغی'!Print_Area</vt:lpstr>
      <vt:lpstr>'13 استانی'!Print_Area</vt:lpstr>
      <vt:lpstr>'14ابلاغی'!Print_Area</vt:lpstr>
      <vt:lpstr>'14استانی'!Print_Area</vt:lpstr>
      <vt:lpstr>'15ابلاغی'!Print_Area</vt:lpstr>
      <vt:lpstr>'15استانی'!Print_Area</vt:lpstr>
      <vt:lpstr>'2'!Print_Area</vt:lpstr>
      <vt:lpstr>'2ابلاغی'!Print_Area</vt:lpstr>
      <vt:lpstr>'3 ابلاغی'!Print_Area</vt:lpstr>
      <vt:lpstr>'4ابلاغی'!Print_Area</vt:lpstr>
      <vt:lpstr>'4استانی '!Print_Area</vt:lpstr>
      <vt:lpstr>'5 ابلاغی'!Print_Area</vt:lpstr>
      <vt:lpstr>'6'!Print_Area</vt:lpstr>
      <vt:lpstr>'7'!Print_Area</vt:lpstr>
      <vt:lpstr>'9'!Print_Area</vt:lpstr>
      <vt:lpstr>'رو کش تراز '!Print_Area</vt:lpstr>
    </vt:vector>
  </TitlesOfParts>
  <Company>khosravi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h.khosravi</dc:creator>
  <cp:lastModifiedBy>saeid</cp:lastModifiedBy>
  <cp:lastPrinted>2013-05-07T09:46:10Z</cp:lastPrinted>
  <dcterms:created xsi:type="dcterms:W3CDTF">2012-04-16T07:00:06Z</dcterms:created>
  <dcterms:modified xsi:type="dcterms:W3CDTF">2019-07-08T18:38:56Z</dcterms:modified>
</cp:coreProperties>
</file>